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00" windowHeight="7890" tabRatio="864" firstSheet="3" activeTab="7"/>
  </bookViews>
  <sheets>
    <sheet name="1. Property" sheetId="1" r:id="rId1"/>
    <sheet name="2. Environmental" sheetId="2" r:id="rId2"/>
    <sheet name="3. Land Use Characteristics" sheetId="3" r:id="rId3"/>
    <sheet name="4. Community" sheetId="4" r:id="rId4"/>
    <sheet name="5. Demographics" sheetId="5" r:id="rId5"/>
    <sheet name="6. Market Assessment" sheetId="6" r:id="rId6"/>
    <sheet name="7. Decision Enhancer Summary" sheetId="7" r:id="rId7"/>
    <sheet name="A. Pro Forma Data Inputs" sheetId="8" r:id="rId8"/>
    <sheet name="B. Pro Forma Tool" sheetId="9" r:id="rId9"/>
  </sheets>
  <definedNames>
    <definedName name="_xlnm.Print_Area" localSheetId="0">'1. Property'!$A$2:$L$76</definedName>
    <definedName name="_xlnm.Print_Area" localSheetId="1">'2. Environmental'!$A$2:$C$28</definedName>
    <definedName name="_xlnm.Print_Area" localSheetId="2">'3. Land Use Characteristics'!$A$2:$D$100</definedName>
    <definedName name="_xlnm.Print_Area" localSheetId="3">'4. Community'!$A$2:$C$55</definedName>
    <definedName name="_xlnm.Print_Area" localSheetId="4">'5. Demographics'!$A$2:$C$154</definedName>
    <definedName name="_xlnm.Print_Area" localSheetId="5">'6. Market Assessment'!$A$2:$E$129</definedName>
    <definedName name="_xlnm.Print_Area" localSheetId="6">'7. Decision Enhancer Summary'!$A$1:$B$69</definedName>
    <definedName name="_xlnm.Print_Area" localSheetId="7">'A. Pro Forma Data Inputs'!$A$2:$C$66</definedName>
    <definedName name="_xlnm.Print_Area" localSheetId="8">'B. Pro Forma Tool'!$A$2:$F$93</definedName>
  </definedNames>
  <calcPr fullCalcOnLoad="1"/>
</workbook>
</file>

<file path=xl/sharedStrings.xml><?xml version="1.0" encoding="utf-8"?>
<sst xmlns="http://schemas.openxmlformats.org/spreadsheetml/2006/main" count="703" uniqueCount="457">
  <si>
    <t>Industrial</t>
  </si>
  <si>
    <t>acres</t>
  </si>
  <si>
    <t>Yes</t>
  </si>
  <si>
    <t>No</t>
  </si>
  <si>
    <t>Total acreage</t>
  </si>
  <si>
    <t>Less wetlands</t>
  </si>
  <si>
    <t>Less flood plain</t>
  </si>
  <si>
    <t>Less habitat</t>
  </si>
  <si>
    <t>Less archaeologically</t>
  </si>
  <si>
    <t>Less slopes</t>
  </si>
  <si>
    <t>Less easements</t>
  </si>
  <si>
    <t>Less deed</t>
  </si>
  <si>
    <t>Building Condition</t>
  </si>
  <si>
    <t>Number of existing parking spaces</t>
  </si>
  <si>
    <t>Amount of existing parking area (SF)</t>
  </si>
  <si>
    <t>Building Type</t>
  </si>
  <si>
    <t>Poor</t>
  </si>
  <si>
    <t>Fair</t>
  </si>
  <si>
    <t>Good</t>
  </si>
  <si>
    <t>Excellent</t>
  </si>
  <si>
    <t>Residential</t>
  </si>
  <si>
    <t>Office</t>
  </si>
  <si>
    <t>Retail</t>
  </si>
  <si>
    <t>Mixed Use</t>
  </si>
  <si>
    <t>Is electricity available onsite?</t>
  </si>
  <si>
    <t>Is cable, fiber optics, T1 or other digital service available onsite?</t>
  </si>
  <si>
    <t>Zoning</t>
  </si>
  <si>
    <t xml:space="preserve">Property </t>
  </si>
  <si>
    <t>Warehouse</t>
  </si>
  <si>
    <t>Manufacturing</t>
  </si>
  <si>
    <t>Recreation</t>
  </si>
  <si>
    <t>Location</t>
  </si>
  <si>
    <t>Are access roads in good condition?</t>
  </si>
  <si>
    <t>What traffic volume can access roads support?</t>
  </si>
  <si>
    <t>Access and Visibility</t>
  </si>
  <si>
    <t>Is the property centrally located in the community?</t>
  </si>
  <si>
    <t>Is property located on a major (multi-lane) roadway?</t>
  </si>
  <si>
    <t>Is the property located at a major intersection?</t>
  </si>
  <si>
    <t>What is the distance to an Interstate?</t>
  </si>
  <si>
    <t>Is the property visible from a major multi-lane roadway?</t>
  </si>
  <si>
    <t>Is the property within close proximity to passenger rail access?</t>
  </si>
  <si>
    <t>Does the property have cargo rail spurs onsite?</t>
  </si>
  <si>
    <t>Is the property within close proximity to cargo rail access?</t>
  </si>
  <si>
    <t>Is public transportation available?</t>
  </si>
  <si>
    <t>Can the public easily walk or bike to the property?</t>
  </si>
  <si>
    <t>Population</t>
  </si>
  <si>
    <t>Have people been moving into the community in the past few years?</t>
  </si>
  <si>
    <t>Population Age</t>
  </si>
  <si>
    <t>Is the elderly population larger than the population of children?</t>
  </si>
  <si>
    <t>What future land uses are supported by local development plans and initiatives? (check all that apply)</t>
  </si>
  <si>
    <t>What are the neighboring land uses? (check all that apply)</t>
  </si>
  <si>
    <t>Educational Attainment</t>
  </si>
  <si>
    <t>Are vocational schools and colleges located in the MSA?</t>
  </si>
  <si>
    <t>Employment</t>
  </si>
  <si>
    <t>Income</t>
  </si>
  <si>
    <t>Expenditures</t>
  </si>
  <si>
    <t>Employment Sectors</t>
  </si>
  <si>
    <t>What is the top employment sector in the town/city?</t>
  </si>
  <si>
    <t>What is the top employment sector in the MSA?</t>
  </si>
  <si>
    <t>What is the second largest employment sector in the town/city?</t>
  </si>
  <si>
    <t>What is the second largest employment sector in the MSA?</t>
  </si>
  <si>
    <t>What is the third largest employment sector in the town/city?</t>
  </si>
  <si>
    <t>What is the third largest employment sector in the MSA?</t>
  </si>
  <si>
    <t>How many major employers does the town/city have?</t>
  </si>
  <si>
    <t>How many major employers does the MSA have?</t>
  </si>
  <si>
    <t>How far do people currently commute to work?</t>
  </si>
  <si>
    <t>miles</t>
  </si>
  <si>
    <t>Raw Undeveloped Land</t>
  </si>
  <si>
    <t>What is the average price per acre of industrial land?</t>
  </si>
  <si>
    <t>What is the average price per acre of commercial land?</t>
  </si>
  <si>
    <t>What percentage of land in your community is vacant?</t>
  </si>
  <si>
    <t>Retail Market</t>
  </si>
  <si>
    <t>What is the total square footage of existing retail space?</t>
  </si>
  <si>
    <t>What is the vacancy rate of existing retail space?</t>
  </si>
  <si>
    <t>What has the vacancy rate of existing retail space been between 2000-present?</t>
  </si>
  <si>
    <t>How much retail space is currently under development (SF)?</t>
  </si>
  <si>
    <t>How much retail space has been built in past two years (SF)?</t>
  </si>
  <si>
    <t>How much retail space has been built between 2000-present (SF)?</t>
  </si>
  <si>
    <t>What is the average sale price for retail space (per SF)?</t>
  </si>
  <si>
    <t>What is the total square footage of existing office space?</t>
  </si>
  <si>
    <t>What is the vacancy rate of existing office space?</t>
  </si>
  <si>
    <t>How much office space has been built in past two years (SF)?</t>
  </si>
  <si>
    <t>How much office space is currently under development (SF)?</t>
  </si>
  <si>
    <t>What is the average sale price for office space (per SF)?</t>
  </si>
  <si>
    <t>What percentage of office space is owner occupied?</t>
  </si>
  <si>
    <t>Industrial Market (excluding warehouse)</t>
  </si>
  <si>
    <t>What is the total square footage of existing industrial space?</t>
  </si>
  <si>
    <t>What is the vacancy rate of existing industrial space?</t>
  </si>
  <si>
    <t>How much industrial space has been built in past two years (SF)?</t>
  </si>
  <si>
    <t>How much industrial space is currently under development (SF)?</t>
  </si>
  <si>
    <t>What is the average sale price for industrial space (per SF)?</t>
  </si>
  <si>
    <t>What percentage of industrial space is owner occupied?</t>
  </si>
  <si>
    <t>What is the average lease rate for industrial space (NNN)?</t>
  </si>
  <si>
    <t>Warehouse Distribution Market</t>
  </si>
  <si>
    <t>What is the total square footage of existing warehouse space?</t>
  </si>
  <si>
    <t>What is the vacancy rate of existing warehouse space?</t>
  </si>
  <si>
    <t>How much warehouse space has been built in past two years (SF)?</t>
  </si>
  <si>
    <t>How much warehouse space is currently under development (SF)?</t>
  </si>
  <si>
    <t>What is the average sale price for warehouse space (per SF)?</t>
  </si>
  <si>
    <t>What percentage of warehouse space is owner occupied?</t>
  </si>
  <si>
    <t>What is the average lease rate for warehouse space (NNN)?</t>
  </si>
  <si>
    <t>per acre</t>
  </si>
  <si>
    <t>How many homes currently exist in the community?</t>
  </si>
  <si>
    <t>How many new homes are currently permitted for construction?</t>
  </si>
  <si>
    <t>What is the median housing price?</t>
  </si>
  <si>
    <t>What is the average number of days on the market?</t>
  </si>
  <si>
    <t>What is the median rental rate for two bedroom unit?</t>
  </si>
  <si>
    <t>What is the vacancy rate for residential properties?</t>
  </si>
  <si>
    <t>What was the growth in housing construction in the last two years?</t>
  </si>
  <si>
    <t>What was the growth in housing construction between 2000-present?</t>
  </si>
  <si>
    <t>What is the average price per home (per SF)?</t>
  </si>
  <si>
    <t>SF</t>
  </si>
  <si>
    <t>per SF</t>
  </si>
  <si>
    <t>What is the average lease rate for retail space (NNN, per SF)?</t>
  </si>
  <si>
    <t>NNN, per SF</t>
  </si>
  <si>
    <t>How would you describe your community?</t>
  </si>
  <si>
    <t>Struggling and declining in population</t>
  </si>
  <si>
    <t>Stagnant and in risk of declining</t>
  </si>
  <si>
    <t>Stagnant but healthy</t>
  </si>
  <si>
    <t>How attractive is your community to developers?</t>
  </si>
  <si>
    <t>Developers never come into our community</t>
  </si>
  <si>
    <t>A few developers look at our community each year</t>
  </si>
  <si>
    <t>Developers are regularly proposing new projects</t>
  </si>
  <si>
    <t>Public/Government Use</t>
  </si>
  <si>
    <t>Are there unique economic drivers in the region?</t>
  </si>
  <si>
    <t>Abundance of natural resources</t>
  </si>
  <si>
    <t>Tourist destinations</t>
  </si>
  <si>
    <t>Outdoor recreational resources</t>
  </si>
  <si>
    <t>Universities or colleges</t>
  </si>
  <si>
    <t>Religious and/or other culture institutions</t>
  </si>
  <si>
    <t>Major government presence</t>
  </si>
  <si>
    <t>Major employers or employment sectors</t>
  </si>
  <si>
    <t>Does your community have a comprehensive master plan?</t>
  </si>
  <si>
    <t>Professional / office</t>
  </si>
  <si>
    <t>Research and development</t>
  </si>
  <si>
    <t>Distribution and warehousing</t>
  </si>
  <si>
    <t>Arts and entertainment</t>
  </si>
  <si>
    <t>Do economic incentives exist for your community?</t>
  </si>
  <si>
    <t>In town</t>
  </si>
  <si>
    <t>Out of town 0-10 miles</t>
  </si>
  <si>
    <t>Purchase Price</t>
  </si>
  <si>
    <t>Site Cleanup</t>
  </si>
  <si>
    <t>Demolition</t>
  </si>
  <si>
    <t>New Construction</t>
  </si>
  <si>
    <t>Parking</t>
  </si>
  <si>
    <t>Soft Costs</t>
  </si>
  <si>
    <t>Carrying Costs</t>
  </si>
  <si>
    <t>months</t>
  </si>
  <si>
    <t>Interest Rate</t>
  </si>
  <si>
    <t>Vacancy Rate</t>
  </si>
  <si>
    <t>Capitalization Rate</t>
  </si>
  <si>
    <t>Remediation Costs For Project</t>
  </si>
  <si>
    <t>Construct New Parking</t>
  </si>
  <si>
    <t xml:space="preserve">Purchase Price </t>
  </si>
  <si>
    <t>Months</t>
  </si>
  <si>
    <t>Net Operating Income</t>
  </si>
  <si>
    <t>Greenspace</t>
  </si>
  <si>
    <t>Utilities</t>
  </si>
  <si>
    <t>Is public water available onsite?</t>
  </si>
  <si>
    <t>Environmental</t>
  </si>
  <si>
    <t>Has the property been assessed?</t>
  </si>
  <si>
    <t>Commercial (professional / office)</t>
  </si>
  <si>
    <t>Hotel/Hospitality</t>
  </si>
  <si>
    <t>Office or Retail</t>
  </si>
  <si>
    <t>Less other areas</t>
  </si>
  <si>
    <t>Government</t>
  </si>
  <si>
    <t>per night</t>
  </si>
  <si>
    <t>Does any portion of the property contain wetlands?</t>
  </si>
  <si>
    <t>Is any portion of the property in a 100 year flood plain?</t>
  </si>
  <si>
    <t>Does any portion of the property contain endangered species or protected habitat?</t>
  </si>
  <si>
    <t>Does any portion of the property contain archaeologically sensitive areas?</t>
  </si>
  <si>
    <t>Does any portion of the property contain slopes greater than 15%?</t>
  </si>
  <si>
    <t>Does any portion of the property contain easements preventing development?</t>
  </si>
  <si>
    <t>Acreage Calculation</t>
  </si>
  <si>
    <t>Phase I</t>
  </si>
  <si>
    <t>Fully characterized (no additional testing recommended)</t>
  </si>
  <si>
    <t>Less than 0.5 miles</t>
  </si>
  <si>
    <t>Greater than 0.5 miles</t>
  </si>
  <si>
    <t>Are there opportunities for renewable energy production on the property such as wind, solar, or water?</t>
  </si>
  <si>
    <t>Are there other areas of land that are not available for development (e.g., narrow portions of the site that will not support development)?</t>
  </si>
  <si>
    <t>SUBTOTAL</t>
  </si>
  <si>
    <t>feet</t>
  </si>
  <si>
    <t>Low</t>
  </si>
  <si>
    <t>Medium to high</t>
  </si>
  <si>
    <t>Extremely high</t>
  </si>
  <si>
    <t>What is the daily traffic count on the primary access road?</t>
  </si>
  <si>
    <t>What is the daily traffic count at the nearest intersection?</t>
  </si>
  <si>
    <t>&lt;0.25 mile</t>
  </si>
  <si>
    <t>0.25 – 1 mile</t>
  </si>
  <si>
    <t>Validation Lists</t>
  </si>
  <si>
    <t>Growing and dynamic</t>
  </si>
  <si>
    <t>Community</t>
  </si>
  <si>
    <t>Out of town 10+ miles</t>
  </si>
  <si>
    <t>Population Change</t>
  </si>
  <si>
    <t>Consider the educational attainment levels: is there a large skilled or semi-skilled workforce?</t>
  </si>
  <si>
    <t>Are vocational schools and colleges located in the MSA offering specialty degree programs?</t>
  </si>
  <si>
    <t>Consider the income levels in the town/city: are income levels growing?</t>
  </si>
  <si>
    <t>Consider the income levels in the town/city: are income levels high for the area?</t>
  </si>
  <si>
    <t>Consider the spending habits indicated: do area residents have disposable income?</t>
  </si>
  <si>
    <t>Consider the information above: what sectors are vibrant and growing?</t>
  </si>
  <si>
    <t>SCORE</t>
  </si>
  <si>
    <t>Residential Market</t>
  </si>
  <si>
    <t>Commercial (Professional/Office) Market</t>
  </si>
  <si>
    <t>Mixed Use Market</t>
  </si>
  <si>
    <t>Considering the score and the answers above, is warehouse distribution a growing market?</t>
  </si>
  <si>
    <t>Considering the score and the answers above, is industrial a growing market?</t>
  </si>
  <si>
    <t>Considering the score and the answers above, is retail a growing market?</t>
  </si>
  <si>
    <t>Considering the score and the answers above, is commercial (professional/office) a growing market?</t>
  </si>
  <si>
    <t>Considering the score and the answers above, is housing a growing market?</t>
  </si>
  <si>
    <t>Considering the score and the answers above, is mixed use a growing market?</t>
  </si>
  <si>
    <t>Considering the score and the answers above, is greenspace a viable use for this property?</t>
  </si>
  <si>
    <t>Considering the score and the answers above, is a government use a viable use for this property?</t>
  </si>
  <si>
    <t>Is sanitary sewer available onsite?</t>
  </si>
  <si>
    <t>Does any portion of the property contain deed restrictions preventing all types of development?</t>
  </si>
  <si>
    <t xml:space="preserve"> 1 mile or more</t>
  </si>
  <si>
    <t>Partially</t>
  </si>
  <si>
    <t>Fully</t>
  </si>
  <si>
    <t>Unavailable in community</t>
  </si>
  <si>
    <t>What is the current zoning on the property? (enter name of zoning code)</t>
  </si>
  <si>
    <t>What are the allowable use(s) under the zone? (check all that apply)</t>
  </si>
  <si>
    <t>Energy</t>
  </si>
  <si>
    <t>Does the property border an attractive waterway?</t>
  </si>
  <si>
    <t>What is the size of the workforce in the town/city?</t>
  </si>
  <si>
    <t>What is the size of the workforce in the MSA?</t>
  </si>
  <si>
    <t xml:space="preserve">What is the current unemployment rate of the town/city? </t>
  </si>
  <si>
    <t>What is the current unemployment rate of the MSA?</t>
  </si>
  <si>
    <t>What is the 10-year average unemployment rate of the town/city?</t>
  </si>
  <si>
    <t>Consider the employment levels in the region: is the current workforce suitable for technology and service industries?</t>
  </si>
  <si>
    <t>What is the current per capita income of the MSA?</t>
  </si>
  <si>
    <t>What is the current per capita income of the town/city?</t>
  </si>
  <si>
    <t>What is the median household income in the town/city?</t>
  </si>
  <si>
    <t>What is the median household income in the MSA?</t>
  </si>
  <si>
    <t>What is the population of the town/city?</t>
  </si>
  <si>
    <t>How many households are in the town/city?</t>
  </si>
  <si>
    <t>How many households are in the MSA?</t>
  </si>
  <si>
    <t>What is the median age of the town/city?</t>
  </si>
  <si>
    <t>What is the median age of the MSA?</t>
  </si>
  <si>
    <t>What was the population change of the town/city from 1990-2000?</t>
  </si>
  <si>
    <t>What is the estimated population change of the town/city from 2000-present?</t>
  </si>
  <si>
    <t>What was the change in per capita income from 1990-2000 of the town/city?</t>
  </si>
  <si>
    <t>What was the change in per capita income from 1990-2000 of the MSA?</t>
  </si>
  <si>
    <t>What was the change in per capita income from 2000-present of the town/city?</t>
  </si>
  <si>
    <t>What was the change in per capita income from 2000-present of the MSA?</t>
  </si>
  <si>
    <t>Percent</t>
  </si>
  <si>
    <t>Dollars</t>
  </si>
  <si>
    <t>What was the population change of the MSA from 1990-2000?</t>
  </si>
  <si>
    <t>What is the estimated population change of the MSA from 2000-present?</t>
  </si>
  <si>
    <t>What percentage of the town/city population over 25 has a high school diploma?</t>
  </si>
  <si>
    <t>What percentage of the town/city population over 25 has a college degree?</t>
  </si>
  <si>
    <t>What percentage of the MSA population over 25 has a high school diploma?</t>
  </si>
  <si>
    <t>What percentage of the MSA population over 25 has a college degree?</t>
  </si>
  <si>
    <t>What was the change in median household income from 1990-2000 of the town/city?</t>
  </si>
  <si>
    <t>What was the change in median household income from 1990-2000 of the MSA?</t>
  </si>
  <si>
    <t>What was the change in median household income from 2000-present of the town/city?</t>
  </si>
  <si>
    <t>What was the change in median household income from 2000-present of the MSA?</t>
  </si>
  <si>
    <t>Other</t>
  </si>
  <si>
    <t>Wholesale / retail trade</t>
  </si>
  <si>
    <t>Finance / professional and business</t>
  </si>
  <si>
    <t>Education and healthcare</t>
  </si>
  <si>
    <t>Leisure and hospitality</t>
  </si>
  <si>
    <t>What is the median housing price trend (upward or downward)?</t>
  </si>
  <si>
    <t>Upward</t>
  </si>
  <si>
    <t>Downward</t>
  </si>
  <si>
    <t>What is the foreclosure rate?</t>
  </si>
  <si>
    <t>What is the foreclosure trend (upward or downward)?</t>
  </si>
  <si>
    <t>What percentage of sales are distressed (foreclosures, short sales)?</t>
  </si>
  <si>
    <t>Neutral</t>
  </si>
  <si>
    <t>How many square feet of new retail leases were signed in the past two years?</t>
  </si>
  <si>
    <t>What percentage of existing retailers closed in the last two years?</t>
  </si>
  <si>
    <t>Are there known retail demands in the market such services residents must drive a long distance for, or niches that are not currently served?</t>
  </si>
  <si>
    <t>Hotel/Hospitality Market</t>
  </si>
  <si>
    <t>How many hotel rooms have been built in the past five years?</t>
  </si>
  <si>
    <t>What is the occupancy rate of local hotels?</t>
  </si>
  <si>
    <t>What is the average price per room at local hotels?</t>
  </si>
  <si>
    <t>Considering the score and the answers above, is a hotel/hospitality a growing market?</t>
  </si>
  <si>
    <t>Is the property of sufficient size and layout for multiple uses?</t>
  </si>
  <si>
    <t>Is there an existing building that could be occupied by more than one type of user?</t>
  </si>
  <si>
    <t>Look at the scores for other land uses above: did more than one land use have a positive score?  Are those land uses synergistic?</t>
  </si>
  <si>
    <t>Does your community promote mixed use, pedestrian friendly or transit oriented development?</t>
  </si>
  <si>
    <t>Is this property within close proximity to electric transmission lines?</t>
  </si>
  <si>
    <t>Is there a substation on site?</t>
  </si>
  <si>
    <t>Are there renewable natural resources, such as wind or water, in close proximity?</t>
  </si>
  <si>
    <t>Is there demand for new power generation?</t>
  </si>
  <si>
    <t>Is there local support for the development of energy facilities?</t>
  </si>
  <si>
    <t>Considering the score and the answers above, is energy a viable use for this property?</t>
  </si>
  <si>
    <t>Does this property contain high quality ecological features or habitats?</t>
  </si>
  <si>
    <t>Is there a need or demand for open space in your community?</t>
  </si>
  <si>
    <t>Is there a need for passive and active recreation venues?</t>
  </si>
  <si>
    <t>Does the property have a greater value to the community as open space than developed?</t>
  </si>
  <si>
    <t>Is there a known need for new government facilities?</t>
  </si>
  <si>
    <t>Is there a long term plan that calls for new government facilities?</t>
  </si>
  <si>
    <t>Is this property in a location suitable for government use?</t>
  </si>
  <si>
    <t>Commercial (Professional/Office)</t>
  </si>
  <si>
    <t>Industrial (excluding warehouse)</t>
  </si>
  <si>
    <t>Warehouse Distribution</t>
  </si>
  <si>
    <t>Enter information in these cells:</t>
  </si>
  <si>
    <t>Purchase Price ($)</t>
  </si>
  <si>
    <t>Ongoing remediation O&amp;M ($)</t>
  </si>
  <si>
    <t>per year</t>
  </si>
  <si>
    <t>Interest Rate (%)</t>
  </si>
  <si>
    <t>Period (months)</t>
  </si>
  <si>
    <t>Cost/SF ($)</t>
  </si>
  <si>
    <t>Number of Parking Spots</t>
  </si>
  <si>
    <t>Square Footage</t>
  </si>
  <si>
    <t>Subtotal Hard Costs New Construction</t>
  </si>
  <si>
    <t>Percentage of hard costs and remediation costs</t>
  </si>
  <si>
    <t>TOTAL DEVELOPMENT COST</t>
  </si>
  <si>
    <t>What is the 10-year average unemployment rate of the MSA?</t>
  </si>
  <si>
    <t>Consider the employment levels in the region and the typical distance people commute: is there available workforce (5% unemployment of greater)?</t>
  </si>
  <si>
    <t>Looking at employment trends in the town/city, are there multiple sectors growing that would suggest a mixed-used development?</t>
  </si>
  <si>
    <t>Looking at employment trends in the MSA, are there multiple sectors growing that would suggest a mixed-used development?</t>
  </si>
  <si>
    <t>Enter community information in these cells:</t>
  </si>
  <si>
    <t>Enter demographic information in these cells:</t>
  </si>
  <si>
    <r>
      <t xml:space="preserve">Consider the answers above: what are the fastest </t>
    </r>
    <r>
      <rPr>
        <b/>
        <i/>
        <sz val="10"/>
        <rFont val="Arial Narrow"/>
        <family val="2"/>
      </rPr>
      <t>declining</t>
    </r>
    <r>
      <rPr>
        <b/>
        <sz val="10"/>
        <rFont val="Arial Narrow"/>
        <family val="2"/>
      </rPr>
      <t xml:space="preserve"> areas of employment in the MSA?</t>
    </r>
  </si>
  <si>
    <r>
      <t xml:space="preserve">Consider the answers above: what are the fastest </t>
    </r>
    <r>
      <rPr>
        <b/>
        <i/>
        <sz val="10"/>
        <rFont val="Arial Narrow"/>
        <family val="2"/>
      </rPr>
      <t>growing</t>
    </r>
    <r>
      <rPr>
        <b/>
        <sz val="10"/>
        <rFont val="Arial Narrow"/>
        <family val="2"/>
      </rPr>
      <t xml:space="preserve"> areas of employment in the MSA?</t>
    </r>
  </si>
  <si>
    <r>
      <t xml:space="preserve">Consider the answers above: what are the fastest </t>
    </r>
    <r>
      <rPr>
        <b/>
        <i/>
        <sz val="10"/>
        <rFont val="Arial Narrow"/>
        <family val="2"/>
      </rPr>
      <t>growing</t>
    </r>
    <r>
      <rPr>
        <b/>
        <sz val="10"/>
        <rFont val="Arial Narrow"/>
        <family val="2"/>
      </rPr>
      <t xml:space="preserve"> areas of employment in the town/city?</t>
    </r>
  </si>
  <si>
    <r>
      <t xml:space="preserve">Consider the answers above: what are the fastest </t>
    </r>
    <r>
      <rPr>
        <b/>
        <i/>
        <sz val="10"/>
        <rFont val="Arial Narrow"/>
        <family val="2"/>
      </rPr>
      <t>declining</t>
    </r>
    <r>
      <rPr>
        <b/>
        <sz val="10"/>
        <rFont val="Arial Narrow"/>
        <family val="2"/>
      </rPr>
      <t xml:space="preserve"> areas of employment in the town/city?</t>
    </r>
  </si>
  <si>
    <t>Property size</t>
  </si>
  <si>
    <t>Environmental Insurance (if required) ($)</t>
  </si>
  <si>
    <t>Building Reuse-Renovation</t>
  </si>
  <si>
    <t>of hard costs</t>
  </si>
  <si>
    <t>per room per night</t>
  </si>
  <si>
    <t>Subtotal</t>
  </si>
  <si>
    <t>Soft Costs + Hard Costs + Remediation</t>
  </si>
  <si>
    <t>units</t>
  </si>
  <si>
    <t>rooms</t>
  </si>
  <si>
    <t xml:space="preserve"> - Vacancy Value</t>
  </si>
  <si>
    <t>Adjusted Net Operating Income</t>
  </si>
  <si>
    <t>Units, SF, Rooms</t>
  </si>
  <si>
    <t>per unit per month</t>
  </si>
  <si>
    <t>Annual Income 
(100% Occupancy)</t>
  </si>
  <si>
    <t>rent per 2 bedroom apartment per month</t>
  </si>
  <si>
    <t>annual premium</t>
  </si>
  <si>
    <t xml:space="preserve"> - Annual Long Term Remediation Operating Expenses</t>
  </si>
  <si>
    <t xml:space="preserve"> - Annual Premium for Environmental Insurance</t>
  </si>
  <si>
    <t>Cost/Parking Spot ($)</t>
  </si>
  <si>
    <t>Number of Finished Units</t>
  </si>
  <si>
    <t>Existing Building Summary</t>
  </si>
  <si>
    <t>Reuse/Renovation of Existing Buildings</t>
  </si>
  <si>
    <t>Subtotal Hard Costs Existing Buildings</t>
  </si>
  <si>
    <t>per parking spot</t>
  </si>
  <si>
    <t xml:space="preserve">Construction Costs </t>
  </si>
  <si>
    <t>Hard Costs / Construction Costs based on Selected Redevelopment Concept</t>
  </si>
  <si>
    <t>per SF NNN</t>
  </si>
  <si>
    <t>Remediation costs paid for through incentives or other programs</t>
  </si>
  <si>
    <t>Total Remediation Cost</t>
  </si>
  <si>
    <t>Adjusted Remediation Cost</t>
  </si>
  <si>
    <t>Enter property land use characteristics in these cells:</t>
  </si>
  <si>
    <t>What are the average costs per KWh for electricity in the area?</t>
  </si>
  <si>
    <t>cents per KWh</t>
  </si>
  <si>
    <t>Does the property border a navigable waterway?</t>
  </si>
  <si>
    <t>What is the population of the Metropolitan Statistical Area (MSA)?</t>
  </si>
  <si>
    <t>What is the average triple-net (NNN) lease rate for office space (per SF)?</t>
  </si>
  <si>
    <t>Usable acreage available for development</t>
  </si>
  <si>
    <t>Residents</t>
  </si>
  <si>
    <t>Capitalization Rate (%)</t>
  </si>
  <si>
    <t xml:space="preserve">For the remaining property questions, if restricted acreage falls into more than one category, report it only one time </t>
  </si>
  <si>
    <t>See pages 3-4 of the Decision Enhancer Tool Handbook for information related to capitalization rates</t>
  </si>
  <si>
    <t>Buildings and Miscellaneous Structures</t>
  </si>
  <si>
    <t>Are there buildings or structures onsite?</t>
  </si>
  <si>
    <t>Does structure contain asbestos, lead paint or other hazardous building components?</t>
  </si>
  <si>
    <t>Building eligible for historic tax credits?</t>
  </si>
  <si>
    <t>Demolition required?</t>
  </si>
  <si>
    <t>Structure condition</t>
  </si>
  <si>
    <t>Building age (Years)</t>
  </si>
  <si>
    <t>Number of floors</t>
  </si>
  <si>
    <t>Structure type/use</t>
  </si>
  <si>
    <t>TOTAL for all buildings/structures</t>
  </si>
  <si>
    <t>Buildings/structures</t>
  </si>
  <si>
    <t>Concrete pad/parking</t>
  </si>
  <si>
    <t>Demolish Existing Building/Structure(s)</t>
  </si>
  <si>
    <t>Demolish Concrete Pads/Parking</t>
  </si>
  <si>
    <t>Existing building/structure # 1</t>
  </si>
  <si>
    <t>Existing building/structure # 2</t>
  </si>
  <si>
    <t>Existing building/structure # 3</t>
  </si>
  <si>
    <t>Existing building/structure # 4</t>
  </si>
  <si>
    <t>Existing building/structure # 5</t>
  </si>
  <si>
    <t>Existing building/structure # 6</t>
  </si>
  <si>
    <t>Existing building/structure # 7</t>
  </si>
  <si>
    <t>Existing building/structure # 8</t>
  </si>
  <si>
    <t>Existing building/structure # 9</t>
  </si>
  <si>
    <t>Existing building/structure # 10</t>
  </si>
  <si>
    <t>Total building/structure SF</t>
  </si>
  <si>
    <t>Existing Parking Summary</t>
  </si>
  <si>
    <t>Parking spaces</t>
  </si>
  <si>
    <t>spaces</t>
  </si>
  <si>
    <t>Phase II/subsurface investigations</t>
  </si>
  <si>
    <t>Less than 10 miles from town</t>
  </si>
  <si>
    <t>Between 10 and 25 miles from town</t>
  </si>
  <si>
    <t>More than 25 miles from town</t>
  </si>
  <si>
    <t>Cost per parking spot including preparation, submaterials and pavement</t>
  </si>
  <si>
    <t>See page 28 of the Decision Enhancer Tool Handbook for information related to estimation of soft costs</t>
  </si>
  <si>
    <t>See page 29 of the Decision Enhancer Tool Handbook for information related to estimation of carrying costs</t>
  </si>
  <si>
    <t>Interest</t>
  </si>
  <si>
    <t>Developable acreage</t>
  </si>
  <si>
    <t>Maximum building height</t>
  </si>
  <si>
    <t>Per household</t>
  </si>
  <si>
    <t>Total</t>
  </si>
  <si>
    <t>What is the estimated disposable income of the town/city?</t>
  </si>
  <si>
    <t>What is the estimated disposable income of the MSA?</t>
  </si>
  <si>
    <t>What sectors are vibrant and growing?</t>
  </si>
  <si>
    <t>Consider the educational attainment levels: is there a large professional workforce?</t>
  </si>
  <si>
    <r>
      <t xml:space="preserve">Based upon your knowledge of land use policies and the community, should any use be designated as a </t>
    </r>
    <r>
      <rPr>
        <b/>
        <i/>
        <sz val="10"/>
        <rFont val="Arial Narrow"/>
        <family val="2"/>
      </rPr>
      <t>fatal flaw</t>
    </r>
    <r>
      <rPr>
        <b/>
        <sz val="10"/>
        <rFont val="Arial Narrow"/>
        <family val="2"/>
      </rPr>
      <t>? (check all that apply)</t>
    </r>
  </si>
  <si>
    <r>
      <t xml:space="preserve">Is the remaining acreage available for development have a </t>
    </r>
    <r>
      <rPr>
        <i/>
        <sz val="10"/>
        <rFont val="Arial Narrow"/>
        <family val="2"/>
      </rPr>
      <t>fatal flaw</t>
    </r>
    <r>
      <rPr>
        <sz val="10"/>
        <rFont val="Arial Narrow"/>
        <family val="2"/>
      </rPr>
      <t xml:space="preserve"> for any land use type?  (see General Planning Considerations section of handbook)</t>
    </r>
  </si>
  <si>
    <t>Maximum allowable lot coverage</t>
  </si>
  <si>
    <t>Decision Enhancer Tool Summary</t>
  </si>
  <si>
    <t>Number of buildings/structures onsite</t>
  </si>
  <si>
    <t>Total square footage of buildings/structures onsite</t>
  </si>
  <si>
    <t>Is there known contamination?</t>
  </si>
  <si>
    <t>Is there public water onsite?</t>
  </si>
  <si>
    <t>Current zoning</t>
  </si>
  <si>
    <t>Is there sanitary sewer onsite?</t>
  </si>
  <si>
    <t>Is the property centrally located?</t>
  </si>
  <si>
    <t>Town/city population</t>
  </si>
  <si>
    <r>
      <t xml:space="preserve">What are the fastest </t>
    </r>
    <r>
      <rPr>
        <i/>
        <sz val="10"/>
        <rFont val="Arial Narrow"/>
        <family val="2"/>
      </rPr>
      <t>declining</t>
    </r>
    <r>
      <rPr>
        <sz val="10"/>
        <rFont val="Arial Narrow"/>
        <family val="2"/>
      </rPr>
      <t xml:space="preserve"> areas of employment in the town/city?</t>
    </r>
  </si>
  <si>
    <r>
      <t xml:space="preserve">What are the fastest </t>
    </r>
    <r>
      <rPr>
        <i/>
        <sz val="10"/>
        <rFont val="Arial Narrow"/>
        <family val="2"/>
      </rPr>
      <t>growing</t>
    </r>
    <r>
      <rPr>
        <sz val="10"/>
        <rFont val="Arial Narrow"/>
        <family val="2"/>
      </rPr>
      <t xml:space="preserve"> areas of employment in the town/city?</t>
    </r>
  </si>
  <si>
    <t>Is there a large professional workforce?</t>
  </si>
  <si>
    <t>Is there a large skilled or semi-skilled workforce?</t>
  </si>
  <si>
    <t>Current unemployment rate of the town/city</t>
  </si>
  <si>
    <t>Uses that may be viable at the site:</t>
  </si>
  <si>
    <t>Estimated remediation cost</t>
  </si>
  <si>
    <t>Reuse Summary</t>
  </si>
  <si>
    <t>Street address</t>
  </si>
  <si>
    <t>Town, State</t>
  </si>
  <si>
    <t>Point of contact</t>
  </si>
  <si>
    <t>Phone number</t>
  </si>
  <si>
    <t>Site name</t>
  </si>
  <si>
    <t>Address</t>
  </si>
  <si>
    <t>Enter property characteristics in these cells</t>
  </si>
  <si>
    <t>Enter environmental characteristics in these cells</t>
  </si>
  <si>
    <t>Enter data in these cells</t>
  </si>
  <si>
    <t>Uses that may not be viable at the site and the rationale behind the fatal flaw designation:</t>
  </si>
  <si>
    <r>
      <t xml:space="preserve">NOTE: Land use scores can vary from a negative number (i.e. -5) to a positive number as high as 40.  The values will depend on whether or not all questions are answered, as well as the answers themselves.  </t>
    </r>
    <r>
      <rPr>
        <b/>
        <sz val="11"/>
        <rFont val="Arial Narrow"/>
        <family val="2"/>
      </rPr>
      <t>These scores are not intended to be a ranking. Instead, the scores are intended to help communities identify land uses that more likely to be successful as compared to other potential land uses on the same property.</t>
    </r>
    <r>
      <rPr>
        <sz val="11"/>
        <rFont val="Arial Narrow"/>
        <family val="2"/>
      </rPr>
      <t xml:space="preserve">  Land uses scoring within one or two points of each other have similar potential for success.  Likewise, when land use scores vary substantially, the higher scoring land uses have the most potential for success.</t>
    </r>
  </si>
  <si>
    <t>What is the percentage of households that own their own home in the town/city?</t>
  </si>
  <si>
    <t>What is the percentage of households that own their own home in the MSA?</t>
  </si>
  <si>
    <r>
      <t xml:space="preserve">Consider the information above and your knowledge of the local economy, should any of these sectors be completely avoided and therefore have a </t>
    </r>
    <r>
      <rPr>
        <b/>
        <i/>
        <sz val="10"/>
        <rFont val="Arial Narrow"/>
        <family val="2"/>
      </rPr>
      <t>fatal flaw</t>
    </r>
    <r>
      <rPr>
        <b/>
        <sz val="10"/>
        <rFont val="Arial Narrow"/>
        <family val="2"/>
      </rPr>
      <t>?</t>
    </r>
  </si>
  <si>
    <t>Approximate structure size (SF)</t>
  </si>
  <si>
    <t>Abatement cost
(only enter if building contain asbestos, lead paint, mercury containing light ballasts, or other hazardous building components)</t>
  </si>
  <si>
    <t>Unknown</t>
  </si>
  <si>
    <t>What is the average price per acre of residential land?</t>
  </si>
  <si>
    <t>How far does a majority of the population travel to shop for everyday goods?</t>
  </si>
  <si>
    <t>How far does a majority of the population travel to shop for specialty purchases?</t>
  </si>
  <si>
    <t>How far does a majority of the population travel to work?</t>
  </si>
  <si>
    <t>PROJECT VALUE ( = Adjusted Net Operating Income / Capitalization Rate)</t>
  </si>
  <si>
    <t>PROFIT ( = Project Value - Total Development Cost)</t>
  </si>
  <si>
    <t>CASH ON CASH RETURN ( = Profit / Total Development Cost)</t>
  </si>
  <si>
    <t>Does your community/region/state promote certain economic clusters?</t>
  </si>
  <si>
    <t>Estimated Cost of Soil Remediation ($)</t>
  </si>
  <si>
    <t>Estimated Cost of Groundwater Remediation ($)</t>
  </si>
  <si>
    <t>Estimated Cost of Other Remediation ($)</t>
  </si>
  <si>
    <t>Estimated Cost of Building Abatement ($)</t>
  </si>
  <si>
    <t>Estimated Cost of Building Abatement (lead based paint, asbestos, or other hazardous materials)</t>
  </si>
  <si>
    <t>Maximum allowable lot coverage under local land use regulations (%)</t>
  </si>
  <si>
    <t xml:space="preserve">Floor to area ratio under local land use regulations </t>
  </si>
  <si>
    <t xml:space="preserve">Or maximum allowable height under local land use regulations </t>
  </si>
  <si>
    <t>Required number of parking spaces per allowable use under local land use regulations</t>
  </si>
  <si>
    <t>Floor to area ratio (FAR)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</si>
</sst>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
    <numFmt numFmtId="170" formatCode="&quot;$&quot;#,##0"/>
    <numFmt numFmtId="171" formatCode="&quot;$&quot;#,##0.000"/>
    <numFmt numFmtId="172" formatCode="&quot;$&quot;#,##0.0000"/>
    <numFmt numFmtId="173" formatCode="[$-409]h:mm:ss\ AM/PM"/>
    <numFmt numFmtId="174" formatCode="[$-409]dddd\,\ mmmm\ dd\,\ yyyy"/>
    <numFmt numFmtId="175" formatCode="#,##0.0"/>
  </numFmts>
  <fonts count="50">
    <font>
      <sz val="10"/>
      <name val="Arial"/>
      <family val="0"/>
    </font>
    <font>
      <sz val="10"/>
      <name val="Arial Narrow"/>
      <family val="2"/>
    </font>
    <font>
      <u val="single"/>
      <sz val="10"/>
      <color indexed="12"/>
      <name val="Arial"/>
      <family val="0"/>
    </font>
    <font>
      <u val="single"/>
      <sz val="10"/>
      <color indexed="36"/>
      <name val="Arial"/>
      <family val="0"/>
    </font>
    <font>
      <b/>
      <sz val="10"/>
      <name val="Arial Narrow"/>
      <family val="2"/>
    </font>
    <font>
      <sz val="8"/>
      <name val="Arial"/>
      <family val="0"/>
    </font>
    <font>
      <sz val="10"/>
      <color indexed="10"/>
      <name val="Arial Narrow"/>
      <family val="2"/>
    </font>
    <font>
      <sz val="10.5"/>
      <color indexed="9"/>
      <name val="Arial Narrow"/>
      <family val="2"/>
    </font>
    <font>
      <i/>
      <sz val="10"/>
      <color indexed="12"/>
      <name val="Arial Narrow"/>
      <family val="2"/>
    </font>
    <font>
      <b/>
      <sz val="10"/>
      <color indexed="17"/>
      <name val="Arial Narrow"/>
      <family val="2"/>
    </font>
    <font>
      <b/>
      <sz val="10"/>
      <color indexed="9"/>
      <name val="Arial Narrow"/>
      <family val="2"/>
    </font>
    <font>
      <sz val="10"/>
      <color indexed="9"/>
      <name val="Arial Narrow"/>
      <family val="2"/>
    </font>
    <font>
      <sz val="10"/>
      <color indexed="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2"/>
    </font>
    <font>
      <sz val="10"/>
      <color indexed="8"/>
      <name val="Arial"/>
      <family val="0"/>
    </font>
    <font>
      <b/>
      <sz val="10"/>
      <color indexed="8"/>
      <name val="Arial Narrow"/>
      <family val="2"/>
    </font>
    <font>
      <i/>
      <sz val="10"/>
      <name val="Arial Narrow"/>
      <family val="2"/>
    </font>
    <font>
      <b/>
      <sz val="12"/>
      <name val="Arial Narrow"/>
      <family val="2"/>
    </font>
    <font>
      <b/>
      <sz val="12"/>
      <color indexed="9"/>
      <name val="Arial Narrow"/>
      <family val="2"/>
    </font>
    <font>
      <b/>
      <sz val="12"/>
      <color indexed="8"/>
      <name val="Arial Narrow"/>
      <family val="2"/>
    </font>
    <font>
      <sz val="12"/>
      <name val="Arial Narrow"/>
      <family val="2"/>
    </font>
    <font>
      <b/>
      <i/>
      <sz val="10"/>
      <name val="Arial Narrow"/>
      <family val="2"/>
    </font>
    <font>
      <sz val="12"/>
      <color indexed="9"/>
      <name val="Arial Narrow"/>
      <family val="2"/>
    </font>
    <font>
      <b/>
      <sz val="11"/>
      <color indexed="9"/>
      <name val="Arial Narrow"/>
      <family val="2"/>
    </font>
    <font>
      <sz val="11"/>
      <color indexed="9"/>
      <name val="Arial Narrow"/>
      <family val="2"/>
    </font>
    <font>
      <b/>
      <sz val="11"/>
      <name val="Arial Narrow"/>
      <family val="2"/>
    </font>
    <font>
      <sz val="11"/>
      <name val="Arial Narrow"/>
      <family val="2"/>
    </font>
    <font>
      <b/>
      <sz val="10"/>
      <color indexed="12"/>
      <name val="Arial Narrow"/>
      <family val="2"/>
    </font>
    <font>
      <sz val="10.5"/>
      <color indexed="10"/>
      <name val="Arial Narrow"/>
      <family val="2"/>
    </font>
    <font>
      <b/>
      <sz val="10"/>
      <color indexed="10"/>
      <name val="Arial Narrow"/>
      <family val="2"/>
    </font>
    <font>
      <b/>
      <i/>
      <sz val="10"/>
      <color indexed="10"/>
      <name val="Arial Narrow"/>
      <family val="2"/>
    </font>
    <font>
      <sz val="10"/>
      <color indexed="9"/>
      <name val="Arial"/>
      <family val="0"/>
    </font>
    <font>
      <sz val="12"/>
      <color indexed="9"/>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gray0625">
        <fgColor indexed="10"/>
        <bgColor indexed="9"/>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color indexed="53"/>
      </right>
      <top>
        <color indexed="63"/>
      </top>
      <bottom>
        <color indexed="63"/>
      </bottom>
    </border>
    <border>
      <left style="thin"/>
      <right>
        <color indexed="63"/>
      </right>
      <top style="thin"/>
      <bottom>
        <color indexed="63"/>
      </bottom>
    </border>
    <border>
      <left style="thin">
        <color indexed="10"/>
      </left>
      <right style="thin">
        <color indexed="10"/>
      </right>
      <top style="thin">
        <color indexed="10"/>
      </top>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color indexed="53"/>
      </bottom>
    </border>
    <border>
      <left>
        <color indexed="63"/>
      </left>
      <right>
        <color indexed="63"/>
      </right>
      <top style="medium">
        <color indexed="53"/>
      </top>
      <bottom style="medium">
        <color indexed="53"/>
      </bottom>
    </border>
    <border>
      <left>
        <color indexed="63"/>
      </left>
      <right>
        <color indexed="63"/>
      </right>
      <top style="medium">
        <color indexed="5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11">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centerContinuous"/>
    </xf>
    <xf numFmtId="0" fontId="1" fillId="0" borderId="0" xfId="0" applyFont="1" applyAlignment="1">
      <alignment horizontal="right" wrapText="1"/>
    </xf>
    <xf numFmtId="0" fontId="4" fillId="0" borderId="0" xfId="0" applyFont="1" applyAlignment="1">
      <alignment horizontal="center"/>
    </xf>
    <xf numFmtId="0" fontId="4" fillId="7" borderId="10" xfId="0" applyFont="1" applyFill="1" applyBorder="1" applyAlignment="1">
      <alignment/>
    </xf>
    <xf numFmtId="0" fontId="1" fillId="7" borderId="11" xfId="0" applyFont="1" applyFill="1" applyBorder="1" applyAlignment="1">
      <alignment horizontal="right"/>
    </xf>
    <xf numFmtId="0" fontId="9" fillId="0" borderId="0" xfId="0" applyFont="1" applyAlignment="1">
      <alignment/>
    </xf>
    <xf numFmtId="0" fontId="1" fillId="0" borderId="0" xfId="0" applyFont="1" applyAlignment="1">
      <alignment/>
    </xf>
    <xf numFmtId="3" fontId="1" fillId="0" borderId="0" xfId="0" applyNumberFormat="1" applyFont="1" applyAlignment="1">
      <alignment/>
    </xf>
    <xf numFmtId="3" fontId="1" fillId="7" borderId="11" xfId="0" applyNumberFormat="1" applyFont="1" applyFill="1" applyBorder="1" applyAlignment="1">
      <alignment horizontal="right"/>
    </xf>
    <xf numFmtId="3" fontId="1" fillId="0" borderId="0" xfId="0" applyNumberFormat="1" applyFont="1" applyFill="1" applyBorder="1" applyAlignment="1">
      <alignment horizontal="right"/>
    </xf>
    <xf numFmtId="0" fontId="1" fillId="0" borderId="0" xfId="0" applyFont="1" applyFill="1" applyAlignment="1">
      <alignment/>
    </xf>
    <xf numFmtId="0" fontId="1" fillId="0" borderId="0" xfId="0" applyFont="1" applyAlignment="1">
      <alignment wrapText="1"/>
    </xf>
    <xf numFmtId="0" fontId="1" fillId="0" borderId="0" xfId="0" applyFont="1" applyAlignment="1">
      <alignment horizontal="left" indent="4"/>
    </xf>
    <xf numFmtId="0" fontId="1" fillId="0" borderId="0" xfId="0" applyFont="1" applyAlignment="1">
      <alignment horizontal="left" wrapText="1"/>
    </xf>
    <xf numFmtId="0" fontId="0" fillId="0" borderId="0" xfId="0" applyFill="1" applyAlignment="1">
      <alignment/>
    </xf>
    <xf numFmtId="0" fontId="0" fillId="0" borderId="0" xfId="0" applyAlignment="1">
      <alignment horizontal="center"/>
    </xf>
    <xf numFmtId="0" fontId="0" fillId="0" borderId="0" xfId="0" applyFill="1" applyBorder="1" applyAlignment="1">
      <alignment/>
    </xf>
    <xf numFmtId="0" fontId="1" fillId="0" borderId="0" xfId="0" applyFont="1" applyFill="1" applyBorder="1" applyAlignment="1">
      <alignment horizontal="right"/>
    </xf>
    <xf numFmtId="0" fontId="1" fillId="0" borderId="0" xfId="0" applyFont="1" applyBorder="1" applyAlignment="1">
      <alignment/>
    </xf>
    <xf numFmtId="0" fontId="4" fillId="20" borderId="12" xfId="0" applyFont="1" applyFill="1" applyBorder="1" applyAlignment="1">
      <alignment horizontal="center"/>
    </xf>
    <xf numFmtId="0" fontId="1" fillId="0" borderId="13"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0" xfId="0" applyFont="1" applyFill="1" applyBorder="1" applyAlignment="1">
      <alignment/>
    </xf>
    <xf numFmtId="0" fontId="4" fillId="0" borderId="0" xfId="0" applyFont="1" applyFill="1" applyBorder="1" applyAlignment="1">
      <alignment horizontal="center"/>
    </xf>
    <xf numFmtId="0" fontId="1" fillId="0" borderId="0" xfId="0" applyFont="1" applyFill="1" applyBorder="1" applyAlignment="1">
      <alignment horizontal="center"/>
    </xf>
    <xf numFmtId="0" fontId="4" fillId="0" borderId="0" xfId="0" applyFont="1" applyFill="1" applyBorder="1" applyAlignment="1">
      <alignment/>
    </xf>
    <xf numFmtId="0" fontId="30" fillId="0" borderId="0" xfId="0" applyFont="1" applyAlignment="1">
      <alignment/>
    </xf>
    <xf numFmtId="0" fontId="1" fillId="20" borderId="0" xfId="0" applyFont="1" applyFill="1" applyAlignment="1">
      <alignment horizontal="right"/>
    </xf>
    <xf numFmtId="0" fontId="1" fillId="0" borderId="13" xfId="0" applyFont="1" applyBorder="1" applyAlignment="1">
      <alignment wrapText="1"/>
    </xf>
    <xf numFmtId="0" fontId="1" fillId="0" borderId="0" xfId="0" applyFont="1" applyFill="1" applyBorder="1" applyAlignment="1">
      <alignment wrapText="1"/>
    </xf>
    <xf numFmtId="0" fontId="12" fillId="20" borderId="0" xfId="0" applyFont="1" applyFill="1" applyAlignment="1">
      <alignment horizontal="center"/>
    </xf>
    <xf numFmtId="0" fontId="30" fillId="0" borderId="0" xfId="0" applyFont="1" applyAlignment="1">
      <alignment horizontal="center"/>
    </xf>
    <xf numFmtId="0" fontId="1" fillId="0" borderId="0" xfId="0" applyFont="1" applyFill="1" applyBorder="1" applyAlignment="1">
      <alignment horizontal="left"/>
    </xf>
    <xf numFmtId="0" fontId="1" fillId="0" borderId="13" xfId="0" applyFont="1" applyFill="1" applyBorder="1" applyAlignment="1">
      <alignment/>
    </xf>
    <xf numFmtId="0" fontId="1" fillId="0" borderId="13" xfId="0" applyFont="1" applyFill="1" applyBorder="1" applyAlignment="1">
      <alignment horizontal="left"/>
    </xf>
    <xf numFmtId="0" fontId="1" fillId="0" borderId="14" xfId="0" applyFont="1" applyFill="1" applyBorder="1" applyAlignment="1">
      <alignment/>
    </xf>
    <xf numFmtId="0" fontId="4" fillId="0" borderId="0" xfId="0" applyFont="1" applyAlignment="1">
      <alignment wrapText="1"/>
    </xf>
    <xf numFmtId="0" fontId="11" fillId="0" borderId="0" xfId="0" applyFont="1" applyAlignment="1">
      <alignment/>
    </xf>
    <xf numFmtId="0" fontId="4" fillId="23" borderId="0" xfId="0" applyFont="1" applyFill="1" applyAlignment="1">
      <alignment horizontal="center" wrapText="1"/>
    </xf>
    <xf numFmtId="0" fontId="1" fillId="0" borderId="0" xfId="0" applyFont="1" applyFill="1" applyAlignment="1">
      <alignment horizontal="right" wrapText="1"/>
    </xf>
    <xf numFmtId="0" fontId="34" fillId="7" borderId="10" xfId="0" applyFont="1" applyFill="1" applyBorder="1" applyAlignment="1">
      <alignment/>
    </xf>
    <xf numFmtId="3" fontId="36" fillId="7" borderId="15" xfId="0" applyNumberFormat="1" applyFont="1" applyFill="1" applyBorder="1" applyAlignment="1">
      <alignment horizontal="left"/>
    </xf>
    <xf numFmtId="3" fontId="37" fillId="7" borderId="11" xfId="0" applyNumberFormat="1" applyFont="1" applyFill="1" applyBorder="1" applyAlignment="1">
      <alignment horizontal="right"/>
    </xf>
    <xf numFmtId="0" fontId="37" fillId="0" borderId="0" xfId="0" applyFont="1" applyAlignment="1">
      <alignment/>
    </xf>
    <xf numFmtId="0" fontId="11" fillId="0" borderId="0" xfId="0" applyFont="1" applyAlignment="1">
      <alignment horizontal="left" indent="4"/>
    </xf>
    <xf numFmtId="3" fontId="1" fillId="0" borderId="0" xfId="0" applyNumberFormat="1" applyFont="1" applyBorder="1" applyAlignment="1">
      <alignment/>
    </xf>
    <xf numFmtId="0" fontId="1" fillId="0" borderId="0" xfId="0" applyFont="1" applyAlignment="1" applyProtection="1">
      <alignment/>
      <protection/>
    </xf>
    <xf numFmtId="0" fontId="1" fillId="0" borderId="0" xfId="0" applyFont="1" applyFill="1" applyAlignment="1" applyProtection="1">
      <alignment/>
      <protection/>
    </xf>
    <xf numFmtId="0" fontId="4" fillId="7" borderId="10" xfId="0" applyFont="1" applyFill="1" applyBorder="1" applyAlignment="1" applyProtection="1">
      <alignment/>
      <protection/>
    </xf>
    <xf numFmtId="0" fontId="1" fillId="7" borderId="16" xfId="0" applyFont="1" applyFill="1" applyBorder="1" applyAlignment="1" applyProtection="1">
      <alignment horizontal="right"/>
      <protection/>
    </xf>
    <xf numFmtId="0" fontId="1" fillId="7" borderId="11" xfId="0" applyFont="1" applyFill="1" applyBorder="1" applyAlignment="1" applyProtection="1">
      <alignment horizontal="right"/>
      <protection/>
    </xf>
    <xf numFmtId="0" fontId="1" fillId="0" borderId="0" xfId="0" applyFont="1" applyFill="1" applyBorder="1" applyAlignment="1" applyProtection="1">
      <alignment horizontal="right"/>
      <protection/>
    </xf>
    <xf numFmtId="0" fontId="1" fillId="0" borderId="0" xfId="0" applyFont="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Alignment="1" applyProtection="1">
      <alignment/>
      <protection/>
    </xf>
    <xf numFmtId="0" fontId="1" fillId="0" borderId="0" xfId="0" applyFont="1" applyAlignment="1" applyProtection="1">
      <alignment horizontal="right"/>
      <protection/>
    </xf>
    <xf numFmtId="0" fontId="1" fillId="0" borderId="0" xfId="0" applyFont="1" applyFill="1" applyAlignment="1" applyProtection="1">
      <alignment horizontal="right"/>
      <protection/>
    </xf>
    <xf numFmtId="0" fontId="1" fillId="0" borderId="17" xfId="0" applyFont="1" applyBorder="1" applyAlignment="1" applyProtection="1">
      <alignment horizontal="right"/>
      <protection/>
    </xf>
    <xf numFmtId="0" fontId="1" fillId="0" borderId="18" xfId="0" applyFont="1" applyBorder="1" applyAlignment="1" applyProtection="1">
      <alignment/>
      <protection/>
    </xf>
    <xf numFmtId="0" fontId="1" fillId="0" borderId="13"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Alignment="1" applyProtection="1">
      <alignment horizontal="center"/>
      <protection/>
    </xf>
    <xf numFmtId="0" fontId="1" fillId="0" borderId="13" xfId="0" applyFont="1" applyBorder="1" applyAlignment="1" applyProtection="1">
      <alignment/>
      <protection/>
    </xf>
    <xf numFmtId="0" fontId="1" fillId="0" borderId="0" xfId="0" applyFont="1" applyFill="1" applyBorder="1" applyAlignment="1" applyProtection="1">
      <alignment/>
      <protection/>
    </xf>
    <xf numFmtId="0" fontId="4" fillId="0" borderId="13" xfId="0" applyFont="1" applyBorder="1" applyAlignment="1" applyProtection="1">
      <alignment/>
      <protection/>
    </xf>
    <xf numFmtId="0" fontId="4" fillId="0" borderId="0" xfId="0" applyFont="1" applyFill="1" applyBorder="1" applyAlignment="1" applyProtection="1">
      <alignment/>
      <protection/>
    </xf>
    <xf numFmtId="0" fontId="6" fillId="0" borderId="0" xfId="0" applyFont="1" applyAlignment="1" applyProtection="1">
      <alignment/>
      <protection/>
    </xf>
    <xf numFmtId="9" fontId="1" fillId="0" borderId="0" xfId="0" applyNumberFormat="1" applyFont="1" applyAlignment="1" applyProtection="1">
      <alignment horizontal="right"/>
      <protection/>
    </xf>
    <xf numFmtId="3" fontId="1" fillId="0" borderId="0" xfId="0" applyNumberFormat="1" applyFont="1" applyAlignment="1" applyProtection="1">
      <alignment horizontal="right"/>
      <protection/>
    </xf>
    <xf numFmtId="0" fontId="1" fillId="0" borderId="14" xfId="0" applyFont="1" applyBorder="1" applyAlignment="1" applyProtection="1">
      <alignment/>
      <protection/>
    </xf>
    <xf numFmtId="0" fontId="1" fillId="0" borderId="19" xfId="0" applyFont="1" applyBorder="1" applyAlignment="1" applyProtection="1">
      <alignment horizontal="right"/>
      <protection/>
    </xf>
    <xf numFmtId="0" fontId="1" fillId="0" borderId="20" xfId="0" applyFont="1" applyBorder="1" applyAlignment="1" applyProtection="1">
      <alignment/>
      <protection/>
    </xf>
    <xf numFmtId="0" fontId="12" fillId="0" borderId="0" xfId="0" applyFont="1" applyAlignment="1" applyProtection="1">
      <alignment horizontal="right" wrapText="1"/>
      <protection/>
    </xf>
    <xf numFmtId="0" fontId="12" fillId="0" borderId="0" xfId="0" applyFont="1" applyAlignment="1" applyProtection="1">
      <alignment horizontal="left" wrapText="1"/>
      <protection/>
    </xf>
    <xf numFmtId="0" fontId="4" fillId="0" borderId="0" xfId="0" applyFont="1" applyAlignment="1" applyProtection="1">
      <alignment horizontal="right"/>
      <protection/>
    </xf>
    <xf numFmtId="0" fontId="1" fillId="0" borderId="0" xfId="0" applyFont="1" applyAlignment="1" applyProtection="1">
      <alignment horizontal="center" wrapText="1"/>
      <protection/>
    </xf>
    <xf numFmtId="0" fontId="1" fillId="0" borderId="0" xfId="0" applyFont="1" applyFill="1" applyAlignment="1" applyProtection="1">
      <alignment horizontal="center" wrapText="1"/>
      <protection/>
    </xf>
    <xf numFmtId="0" fontId="1" fillId="0" borderId="0" xfId="0" applyFont="1" applyAlignment="1" applyProtection="1">
      <alignment horizontal="right" wrapText="1"/>
      <protection/>
    </xf>
    <xf numFmtId="0" fontId="1" fillId="0" borderId="0" xfId="0" applyFont="1" applyFill="1" applyAlignment="1" applyProtection="1">
      <alignment horizontal="center"/>
      <protection/>
    </xf>
    <xf numFmtId="0" fontId="1" fillId="0" borderId="21" xfId="0" applyFont="1" applyFill="1" applyBorder="1" applyAlignment="1" applyProtection="1">
      <alignment/>
      <protection/>
    </xf>
    <xf numFmtId="3" fontId="1" fillId="0" borderId="21" xfId="0" applyNumberFormat="1" applyFont="1" applyFill="1" applyBorder="1" applyAlignment="1" applyProtection="1">
      <alignment/>
      <protection/>
    </xf>
    <xf numFmtId="0" fontId="1" fillId="0" borderId="21" xfId="0" applyFont="1" applyFill="1" applyBorder="1" applyAlignment="1" applyProtection="1">
      <alignment horizontal="center"/>
      <protection/>
    </xf>
    <xf numFmtId="170" fontId="1" fillId="0" borderId="21" xfId="0" applyNumberFormat="1" applyFont="1" applyFill="1" applyBorder="1" applyAlignment="1" applyProtection="1">
      <alignment/>
      <protection/>
    </xf>
    <xf numFmtId="0" fontId="4" fillId="0" borderId="0" xfId="0" applyFont="1" applyFill="1" applyAlignment="1" applyProtection="1">
      <alignment horizontal="right"/>
      <protection/>
    </xf>
    <xf numFmtId="3" fontId="1" fillId="0" borderId="0" xfId="0" applyNumberFormat="1" applyFont="1" applyFill="1" applyAlignment="1" applyProtection="1">
      <alignment/>
      <protection/>
    </xf>
    <xf numFmtId="170" fontId="1" fillId="0" borderId="0" xfId="0" applyNumberFormat="1" applyFont="1" applyFill="1" applyAlignment="1" applyProtection="1">
      <alignment/>
      <protection/>
    </xf>
    <xf numFmtId="0" fontId="1" fillId="0" borderId="0" xfId="0" applyFont="1" applyAlignment="1" applyProtection="1">
      <alignment horizontal="right"/>
      <protection locked="0"/>
    </xf>
    <xf numFmtId="0" fontId="0" fillId="0" borderId="0" xfId="0" applyAlignment="1" applyProtection="1">
      <alignment/>
      <protection/>
    </xf>
    <xf numFmtId="0" fontId="1" fillId="20" borderId="0" xfId="0" applyFont="1" applyFill="1" applyAlignment="1" applyProtection="1">
      <alignment horizontal="right"/>
      <protection/>
    </xf>
    <xf numFmtId="0" fontId="12" fillId="20" borderId="0" xfId="0" applyFont="1" applyFill="1" applyAlignment="1" applyProtection="1">
      <alignment horizontal="center"/>
      <protection/>
    </xf>
    <xf numFmtId="0" fontId="1" fillId="0" borderId="0" xfId="0" applyFont="1" applyAlignment="1" applyProtection="1">
      <alignment horizontal="left"/>
      <protection/>
    </xf>
    <xf numFmtId="0" fontId="30" fillId="0" borderId="0" xfId="0" applyFont="1" applyAlignment="1" applyProtection="1">
      <alignment horizontal="center"/>
      <protection/>
    </xf>
    <xf numFmtId="0" fontId="1" fillId="0" borderId="0" xfId="0" applyFont="1" applyAlignment="1" applyProtection="1">
      <alignment horizontal="left" wrapText="1"/>
      <protection/>
    </xf>
    <xf numFmtId="0" fontId="1" fillId="0" borderId="14" xfId="0" applyFont="1"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Fill="1" applyAlignment="1" applyProtection="1">
      <alignment/>
      <protection/>
    </xf>
    <xf numFmtId="0" fontId="31" fillId="0" borderId="0" xfId="0" applyFont="1" applyAlignment="1" applyProtection="1">
      <alignment horizontal="center"/>
      <protection/>
    </xf>
    <xf numFmtId="0" fontId="0" fillId="0" borderId="0" xfId="0" applyAlignment="1" applyProtection="1">
      <alignment horizontal="center"/>
      <protection/>
    </xf>
    <xf numFmtId="3" fontId="1" fillId="0" borderId="0" xfId="0" applyNumberFormat="1" applyFont="1" applyAlignment="1" applyProtection="1">
      <alignment horizontal="right"/>
      <protection locked="0"/>
    </xf>
    <xf numFmtId="170" fontId="1" fillId="0" borderId="0" xfId="0" applyNumberFormat="1" applyFont="1" applyAlignment="1" applyProtection="1">
      <alignment/>
      <protection locked="0"/>
    </xf>
    <xf numFmtId="3" fontId="1" fillId="0" borderId="0" xfId="0" applyNumberFormat="1" applyFont="1" applyAlignment="1" applyProtection="1">
      <alignment/>
      <protection locked="0"/>
    </xf>
    <xf numFmtId="0" fontId="1" fillId="0" borderId="0" xfId="0" applyFont="1" applyAlignment="1" applyProtection="1">
      <alignment horizontal="center"/>
      <protection locked="0"/>
    </xf>
    <xf numFmtId="0" fontId="1" fillId="0" borderId="0" xfId="0" applyFont="1" applyAlignment="1" applyProtection="1">
      <alignment/>
      <protection locked="0"/>
    </xf>
    <xf numFmtId="0" fontId="44" fillId="0" borderId="0" xfId="0" applyFont="1" applyBorder="1" applyAlignment="1" applyProtection="1">
      <alignment horizontal="right"/>
      <protection/>
    </xf>
    <xf numFmtId="4" fontId="1" fillId="0" borderId="0" xfId="0" applyNumberFormat="1" applyFont="1" applyBorder="1" applyAlignment="1" applyProtection="1">
      <alignment horizontal="right"/>
      <protection locked="0"/>
    </xf>
    <xf numFmtId="9" fontId="1" fillId="0" borderId="0" xfId="0" applyNumberFormat="1" applyFont="1" applyBorder="1" applyAlignment="1" applyProtection="1">
      <alignment horizontal="right"/>
      <protection locked="0"/>
    </xf>
    <xf numFmtId="0" fontId="1" fillId="0" borderId="0" xfId="0" applyFont="1" applyBorder="1" applyAlignment="1" applyProtection="1">
      <alignment horizontal="right"/>
      <protection/>
    </xf>
    <xf numFmtId="3" fontId="1" fillId="0" borderId="0" xfId="0" applyNumberFormat="1" applyFont="1" applyBorder="1" applyAlignment="1" applyProtection="1">
      <alignment horizontal="right"/>
      <protection/>
    </xf>
    <xf numFmtId="0" fontId="12" fillId="0" borderId="0" xfId="0" applyFont="1" applyBorder="1" applyAlignment="1" applyProtection="1">
      <alignment horizontal="right"/>
      <protection/>
    </xf>
    <xf numFmtId="0" fontId="0" fillId="0" borderId="0" xfId="0" applyAlignment="1" applyProtection="1">
      <alignment/>
      <protection locked="0"/>
    </xf>
    <xf numFmtId="0" fontId="1" fillId="0" borderId="0" xfId="0" applyFont="1" applyAlignment="1" applyProtection="1">
      <alignment horizontal="left"/>
      <protection locked="0"/>
    </xf>
    <xf numFmtId="0" fontId="44" fillId="0" borderId="0" xfId="0" applyFont="1" applyAlignment="1" applyProtection="1">
      <alignment horizontal="right" wrapText="1"/>
      <protection/>
    </xf>
    <xf numFmtId="0" fontId="44" fillId="0" borderId="0" xfId="0" applyFont="1" applyAlignment="1" applyProtection="1">
      <alignment horizontal="left" wrapText="1"/>
      <protection/>
    </xf>
    <xf numFmtId="0" fontId="1" fillId="0" borderId="0" xfId="0" applyFont="1" applyBorder="1" applyAlignment="1" applyProtection="1">
      <alignment horizontal="right"/>
      <protection locked="0"/>
    </xf>
    <xf numFmtId="0" fontId="1" fillId="0" borderId="0" xfId="0" applyFont="1" applyAlignment="1" applyProtection="1">
      <alignment wrapText="1"/>
      <protection/>
    </xf>
    <xf numFmtId="0" fontId="1" fillId="7" borderId="21" xfId="0" applyFont="1" applyFill="1" applyBorder="1" applyAlignment="1" applyProtection="1">
      <alignment horizontal="right"/>
      <protection/>
    </xf>
    <xf numFmtId="3" fontId="1" fillId="0" borderId="0" xfId="0" applyNumberFormat="1" applyFont="1" applyBorder="1" applyAlignment="1" applyProtection="1">
      <alignment horizontal="right"/>
      <protection locked="0"/>
    </xf>
    <xf numFmtId="0" fontId="1" fillId="7" borderId="16" xfId="0" applyFont="1" applyFill="1" applyBorder="1" applyAlignment="1">
      <alignment horizontal="right"/>
    </xf>
    <xf numFmtId="171" fontId="1" fillId="0" borderId="0" xfId="0" applyNumberFormat="1" applyFont="1" applyBorder="1" applyAlignment="1" applyProtection="1">
      <alignment horizontal="right"/>
      <protection locked="0"/>
    </xf>
    <xf numFmtId="9" fontId="30" fillId="0" borderId="0" xfId="0" applyNumberFormat="1" applyFont="1" applyBorder="1" applyAlignment="1" applyProtection="1">
      <alignment/>
      <protection locked="0"/>
    </xf>
    <xf numFmtId="0" fontId="30" fillId="0" borderId="0" xfId="0" applyNumberFormat="1" applyFont="1" applyBorder="1" applyAlignment="1" applyProtection="1">
      <alignment/>
      <protection locked="0"/>
    </xf>
    <xf numFmtId="3" fontId="30" fillId="0" borderId="0" xfId="0" applyNumberFormat="1" applyFont="1" applyBorder="1" applyAlignment="1" applyProtection="1">
      <alignment/>
      <protection locked="0"/>
    </xf>
    <xf numFmtId="169" fontId="1" fillId="0" borderId="0" xfId="0" applyNumberFormat="1" applyFont="1" applyBorder="1" applyAlignment="1" applyProtection="1">
      <alignment horizontal="right"/>
      <protection locked="0"/>
    </xf>
    <xf numFmtId="0" fontId="0" fillId="0" borderId="0" xfId="0" applyFont="1" applyAlignment="1">
      <alignment/>
    </xf>
    <xf numFmtId="0" fontId="1" fillId="0" borderId="0" xfId="0" applyFont="1" applyFill="1" applyAlignment="1">
      <alignment wrapText="1"/>
    </xf>
    <xf numFmtId="3" fontId="1" fillId="0" borderId="0" xfId="0" applyNumberFormat="1" applyFont="1" applyBorder="1" applyAlignment="1" applyProtection="1">
      <alignment/>
      <protection locked="0"/>
    </xf>
    <xf numFmtId="3" fontId="1" fillId="7" borderId="16" xfId="0" applyNumberFormat="1" applyFont="1" applyFill="1" applyBorder="1" applyAlignment="1">
      <alignment horizontal="right"/>
    </xf>
    <xf numFmtId="9" fontId="1" fillId="0" borderId="0" xfId="0" applyNumberFormat="1" applyFont="1" applyBorder="1" applyAlignment="1" applyProtection="1">
      <alignment/>
      <protection locked="0"/>
    </xf>
    <xf numFmtId="170" fontId="1" fillId="0" borderId="0" xfId="0" applyNumberFormat="1" applyFont="1" applyBorder="1" applyAlignment="1" applyProtection="1">
      <alignment/>
      <protection locked="0"/>
    </xf>
    <xf numFmtId="9" fontId="4" fillId="0" borderId="0" xfId="0" applyNumberFormat="1" applyFont="1" applyBorder="1" applyAlignment="1" applyProtection="1">
      <alignment horizontal="center"/>
      <protection locked="0"/>
    </xf>
    <xf numFmtId="0" fontId="9" fillId="0" borderId="0" xfId="0" applyFont="1" applyBorder="1" applyAlignment="1">
      <alignment/>
    </xf>
    <xf numFmtId="0" fontId="1" fillId="0" borderId="0" xfId="0" applyFont="1" applyBorder="1" applyAlignment="1">
      <alignment horizontal="left" wrapText="1"/>
    </xf>
    <xf numFmtId="3" fontId="37" fillId="7" borderId="16" xfId="0" applyNumberFormat="1" applyFont="1" applyFill="1" applyBorder="1" applyAlignment="1">
      <alignment horizontal="right"/>
    </xf>
    <xf numFmtId="0" fontId="1" fillId="0" borderId="0" xfId="0" applyFont="1" applyAlignment="1" applyProtection="1">
      <alignment/>
      <protection/>
    </xf>
    <xf numFmtId="0" fontId="1" fillId="7" borderId="21" xfId="0" applyFont="1" applyFill="1" applyBorder="1" applyAlignment="1">
      <alignment horizontal="right"/>
    </xf>
    <xf numFmtId="3" fontId="1" fillId="7" borderId="21" xfId="0" applyNumberFormat="1" applyFont="1" applyFill="1" applyBorder="1" applyAlignment="1">
      <alignment horizontal="right"/>
    </xf>
    <xf numFmtId="3" fontId="35" fillId="24" borderId="16" xfId="0" applyNumberFormat="1" applyFont="1" applyFill="1" applyBorder="1" applyAlignment="1">
      <alignment horizontal="center"/>
    </xf>
    <xf numFmtId="3" fontId="35" fillId="24" borderId="0" xfId="0" applyNumberFormat="1" applyFont="1" applyFill="1" applyBorder="1" applyAlignment="1">
      <alignment horizontal="center"/>
    </xf>
    <xf numFmtId="10" fontId="1" fillId="0" borderId="0" xfId="0" applyNumberFormat="1" applyFont="1" applyBorder="1" applyAlignment="1" applyProtection="1">
      <alignment/>
      <protection locked="0"/>
    </xf>
    <xf numFmtId="170" fontId="1" fillId="0" borderId="21" xfId="0" applyNumberFormat="1" applyFont="1" applyBorder="1" applyAlignment="1" applyProtection="1">
      <alignment/>
      <protection locked="0"/>
    </xf>
    <xf numFmtId="0" fontId="4" fillId="24" borderId="11" xfId="0" applyFont="1" applyFill="1" applyBorder="1" applyAlignment="1" applyProtection="1">
      <alignment/>
      <protection/>
    </xf>
    <xf numFmtId="0" fontId="32" fillId="7" borderId="10" xfId="0" applyFont="1" applyFill="1" applyBorder="1" applyAlignment="1" applyProtection="1">
      <alignment/>
      <protection/>
    </xf>
    <xf numFmtId="0" fontId="30" fillId="7" borderId="16" xfId="0" applyFont="1" applyFill="1" applyBorder="1" applyAlignment="1" applyProtection="1">
      <alignment/>
      <protection/>
    </xf>
    <xf numFmtId="0" fontId="1" fillId="7" borderId="16" xfId="0" applyFont="1" applyFill="1" applyBorder="1" applyAlignment="1" applyProtection="1">
      <alignment/>
      <protection/>
    </xf>
    <xf numFmtId="170" fontId="32" fillId="7" borderId="11" xfId="0" applyNumberFormat="1" applyFont="1" applyFill="1" applyBorder="1" applyAlignment="1" applyProtection="1">
      <alignment/>
      <protection/>
    </xf>
    <xf numFmtId="170" fontId="1" fillId="0" borderId="0" xfId="0" applyNumberFormat="1" applyFont="1" applyBorder="1" applyAlignment="1" applyProtection="1">
      <alignment/>
      <protection/>
    </xf>
    <xf numFmtId="170" fontId="1" fillId="0" borderId="0" xfId="0" applyNumberFormat="1" applyFont="1" applyAlignment="1" applyProtection="1">
      <alignment/>
      <protection/>
    </xf>
    <xf numFmtId="0" fontId="32" fillId="7" borderId="10" xfId="0" applyFont="1" applyFill="1" applyBorder="1" applyAlignment="1" applyProtection="1">
      <alignment horizontal="left"/>
      <protection/>
    </xf>
    <xf numFmtId="0" fontId="32" fillId="7" borderId="16" xfId="0" applyFont="1" applyFill="1" applyBorder="1" applyAlignment="1" applyProtection="1">
      <alignment/>
      <protection/>
    </xf>
    <xf numFmtId="0" fontId="1" fillId="0" borderId="0" xfId="0" applyFont="1" applyFill="1" applyBorder="1" applyAlignment="1" applyProtection="1">
      <alignment/>
      <protection/>
    </xf>
    <xf numFmtId="170" fontId="4" fillId="0" borderId="0" xfId="0" applyNumberFormat="1" applyFont="1" applyBorder="1" applyAlignment="1" applyProtection="1">
      <alignment/>
      <protection/>
    </xf>
    <xf numFmtId="170" fontId="1" fillId="0" borderId="0" xfId="0" applyNumberFormat="1" applyFont="1" applyFill="1" applyBorder="1" applyAlignment="1" applyProtection="1">
      <alignment/>
      <protection/>
    </xf>
    <xf numFmtId="0" fontId="4" fillId="0" borderId="0" xfId="0" applyFont="1" applyAlignment="1" applyProtection="1">
      <alignment horizontal="left"/>
      <protection/>
    </xf>
    <xf numFmtId="3" fontId="1" fillId="0" borderId="0" xfId="0" applyNumberFormat="1" applyFont="1" applyBorder="1" applyAlignment="1" applyProtection="1">
      <alignment/>
      <protection/>
    </xf>
    <xf numFmtId="0" fontId="1" fillId="0" borderId="21" xfId="0" applyFont="1" applyBorder="1" applyAlignment="1" applyProtection="1">
      <alignment horizontal="right"/>
      <protection/>
    </xf>
    <xf numFmtId="3" fontId="1" fillId="0" borderId="21" xfId="0" applyNumberFormat="1" applyFont="1" applyBorder="1" applyAlignment="1" applyProtection="1">
      <alignment/>
      <protection/>
    </xf>
    <xf numFmtId="0" fontId="1" fillId="0" borderId="21" xfId="0" applyFont="1" applyBorder="1" applyAlignment="1" applyProtection="1">
      <alignment/>
      <protection/>
    </xf>
    <xf numFmtId="0" fontId="4" fillId="23" borderId="0" xfId="0" applyFont="1" applyFill="1" applyAlignment="1" applyProtection="1">
      <alignment vertical="center"/>
      <protection/>
    </xf>
    <xf numFmtId="0" fontId="4" fillId="0" borderId="0" xfId="0" applyFont="1" applyAlignment="1" applyProtection="1">
      <alignment horizontal="center" vertical="center" wrapText="1"/>
      <protection/>
    </xf>
    <xf numFmtId="170" fontId="4" fillId="0" borderId="0" xfId="0" applyNumberFormat="1" applyFont="1" applyAlignment="1" applyProtection="1">
      <alignment horizontal="center" vertical="center"/>
      <protection/>
    </xf>
    <xf numFmtId="0" fontId="33" fillId="23" borderId="0" xfId="0" applyFont="1" applyFill="1" applyAlignment="1" applyProtection="1">
      <alignment/>
      <protection/>
    </xf>
    <xf numFmtId="0" fontId="38" fillId="23" borderId="0" xfId="0" applyFont="1" applyFill="1" applyAlignment="1" applyProtection="1">
      <alignment horizontal="right"/>
      <protection/>
    </xf>
    <xf numFmtId="170" fontId="38" fillId="23" borderId="0" xfId="0" applyNumberFormat="1" applyFont="1" applyFill="1" applyBorder="1" applyAlignment="1" applyProtection="1">
      <alignment/>
      <protection/>
    </xf>
    <xf numFmtId="0" fontId="46" fillId="0" borderId="0" xfId="0" applyFont="1" applyAlignment="1" applyProtection="1">
      <alignment/>
      <protection/>
    </xf>
    <xf numFmtId="0" fontId="4" fillId="0" borderId="0" xfId="0" applyFont="1" applyFill="1" applyAlignment="1" applyProtection="1">
      <alignment/>
      <protection/>
    </xf>
    <xf numFmtId="0" fontId="4" fillId="23" borderId="0" xfId="0" applyFont="1" applyFill="1" applyAlignment="1" applyProtection="1">
      <alignment horizontal="left" vertical="center"/>
      <protection/>
    </xf>
    <xf numFmtId="0" fontId="38" fillId="0" borderId="0" xfId="0" applyFont="1" applyAlignment="1" applyProtection="1">
      <alignment horizontal="center" wrapText="1"/>
      <protection/>
    </xf>
    <xf numFmtId="170" fontId="38" fillId="0" borderId="0" xfId="0" applyNumberFormat="1" applyFont="1" applyAlignment="1" applyProtection="1">
      <alignment horizontal="center" wrapText="1"/>
      <protection/>
    </xf>
    <xf numFmtId="170" fontId="38" fillId="0" borderId="0" xfId="0" applyNumberFormat="1" applyFont="1" applyAlignment="1" applyProtection="1">
      <alignment horizontal="center"/>
      <protection/>
    </xf>
    <xf numFmtId="170" fontId="1" fillId="0" borderId="21" xfId="0" applyNumberFormat="1" applyFont="1" applyBorder="1" applyAlignment="1" applyProtection="1">
      <alignment/>
      <protection/>
    </xf>
    <xf numFmtId="0" fontId="1" fillId="23" borderId="0" xfId="0" applyFont="1" applyFill="1" applyAlignment="1" applyProtection="1">
      <alignment/>
      <protection/>
    </xf>
    <xf numFmtId="170" fontId="38" fillId="23" borderId="0" xfId="0" applyNumberFormat="1" applyFont="1" applyFill="1" applyAlignment="1" applyProtection="1">
      <alignment/>
      <protection/>
    </xf>
    <xf numFmtId="9" fontId="1" fillId="0" borderId="0" xfId="59" applyFont="1" applyAlignment="1" applyProtection="1">
      <alignment/>
      <protection/>
    </xf>
    <xf numFmtId="170" fontId="4" fillId="0" borderId="0" xfId="0" applyNumberFormat="1" applyFont="1" applyAlignment="1" applyProtection="1">
      <alignment/>
      <protection/>
    </xf>
    <xf numFmtId="10" fontId="1" fillId="0" borderId="0" xfId="0" applyNumberFormat="1" applyFont="1" applyBorder="1" applyAlignment="1" applyProtection="1">
      <alignment/>
      <protection/>
    </xf>
    <xf numFmtId="10" fontId="1" fillId="0" borderId="0" xfId="59" applyNumberFormat="1" applyFont="1" applyBorder="1" applyAlignment="1" applyProtection="1">
      <alignment/>
      <protection/>
    </xf>
    <xf numFmtId="0" fontId="35" fillId="24" borderId="10" xfId="0" applyFont="1" applyFill="1" applyBorder="1" applyAlignment="1" applyProtection="1">
      <alignment/>
      <protection/>
    </xf>
    <xf numFmtId="0" fontId="39" fillId="24" borderId="16" xfId="0" applyFont="1" applyFill="1" applyBorder="1" applyAlignment="1" applyProtection="1">
      <alignment/>
      <protection/>
    </xf>
    <xf numFmtId="170" fontId="34" fillId="7" borderId="11" xfId="0" applyNumberFormat="1" applyFont="1" applyFill="1" applyBorder="1" applyAlignment="1" applyProtection="1">
      <alignment/>
      <protection/>
    </xf>
    <xf numFmtId="0" fontId="37" fillId="0" borderId="0" xfId="0" applyFont="1" applyAlignment="1" applyProtection="1">
      <alignment/>
      <protection/>
    </xf>
    <xf numFmtId="0" fontId="37" fillId="0" borderId="0" xfId="0" applyFont="1" applyAlignment="1" applyProtection="1">
      <alignment horizontal="right"/>
      <protection/>
    </xf>
    <xf numFmtId="170" fontId="32" fillId="7" borderId="16" xfId="0" applyNumberFormat="1" applyFont="1" applyFill="1" applyBorder="1" applyAlignment="1" applyProtection="1">
      <alignment/>
      <protection/>
    </xf>
    <xf numFmtId="170" fontId="4" fillId="7" borderId="11" xfId="0" applyNumberFormat="1" applyFont="1" applyFill="1" applyBorder="1" applyAlignment="1" applyProtection="1">
      <alignment/>
      <protection/>
    </xf>
    <xf numFmtId="5" fontId="1" fillId="0" borderId="0" xfId="44" applyNumberFormat="1" applyFont="1" applyBorder="1" applyAlignment="1" applyProtection="1">
      <alignment/>
      <protection/>
    </xf>
    <xf numFmtId="5" fontId="1" fillId="0" borderId="21" xfId="44" applyNumberFormat="1" applyFont="1" applyBorder="1" applyAlignment="1" applyProtection="1">
      <alignment/>
      <protection/>
    </xf>
    <xf numFmtId="0" fontId="1" fillId="0" borderId="0" xfId="0" applyFont="1" applyAlignment="1" applyProtection="1" quotePrefix="1">
      <alignment horizontal="right"/>
      <protection/>
    </xf>
    <xf numFmtId="169" fontId="1" fillId="0" borderId="0" xfId="0" applyNumberFormat="1" applyFont="1" applyAlignment="1" applyProtection="1">
      <alignment/>
      <protection/>
    </xf>
    <xf numFmtId="0" fontId="1" fillId="0" borderId="0" xfId="0" applyFont="1" applyFill="1" applyBorder="1" applyAlignment="1" applyProtection="1" quotePrefix="1">
      <alignment horizontal="right"/>
      <protection/>
    </xf>
    <xf numFmtId="0" fontId="40" fillId="24" borderId="0" xfId="0" applyFont="1" applyFill="1" applyAlignment="1" applyProtection="1">
      <alignment/>
      <protection/>
    </xf>
    <xf numFmtId="0" fontId="43" fillId="24" borderId="0" xfId="0" applyFont="1" applyFill="1" applyAlignment="1" applyProtection="1">
      <alignment/>
      <protection/>
    </xf>
    <xf numFmtId="170" fontId="42" fillId="7" borderId="11" xfId="0" applyNumberFormat="1" applyFont="1" applyFill="1" applyBorder="1" applyAlignment="1" applyProtection="1">
      <alignment/>
      <protection/>
    </xf>
    <xf numFmtId="0" fontId="43" fillId="0" borderId="0" xfId="0" applyFont="1" applyAlignment="1" applyProtection="1">
      <alignment/>
      <protection/>
    </xf>
    <xf numFmtId="10" fontId="4" fillId="0" borderId="0" xfId="0" applyNumberFormat="1" applyFont="1" applyAlignment="1" applyProtection="1">
      <alignment horizontal="right"/>
      <protection/>
    </xf>
    <xf numFmtId="0" fontId="40" fillId="24" borderId="10" xfId="0" applyFont="1" applyFill="1" applyBorder="1" applyAlignment="1" applyProtection="1">
      <alignment/>
      <protection/>
    </xf>
    <xf numFmtId="0" fontId="41" fillId="24" borderId="16" xfId="0" applyFont="1" applyFill="1" applyBorder="1" applyAlignment="1" applyProtection="1">
      <alignment/>
      <protection/>
    </xf>
    <xf numFmtId="0" fontId="42" fillId="24" borderId="0" xfId="0" applyFont="1" applyFill="1" applyAlignment="1" applyProtection="1">
      <alignment/>
      <protection/>
    </xf>
    <xf numFmtId="0" fontId="42" fillId="0" borderId="0" xfId="0" applyFont="1" applyAlignment="1" applyProtection="1">
      <alignment/>
      <protection/>
    </xf>
    <xf numFmtId="0" fontId="43" fillId="0" borderId="0" xfId="0" applyFont="1" applyFill="1" applyAlignment="1" applyProtection="1">
      <alignment/>
      <protection/>
    </xf>
    <xf numFmtId="10" fontId="42" fillId="7" borderId="11" xfId="0" applyNumberFormat="1" applyFont="1" applyFill="1" applyBorder="1" applyAlignment="1" applyProtection="1">
      <alignment/>
      <protection/>
    </xf>
    <xf numFmtId="0" fontId="4" fillId="0" borderId="0" xfId="0" applyFont="1" applyBorder="1" applyAlignment="1" applyProtection="1">
      <alignment horizontal="right"/>
      <protection/>
    </xf>
    <xf numFmtId="0" fontId="4" fillId="0" borderId="0" xfId="0" applyFont="1" applyBorder="1" applyAlignment="1" applyProtection="1">
      <alignment/>
      <protection/>
    </xf>
    <xf numFmtId="0" fontId="1" fillId="0" borderId="0" xfId="0" applyFont="1" applyBorder="1" applyAlignment="1" applyProtection="1">
      <alignment horizontal="left"/>
      <protection/>
    </xf>
    <xf numFmtId="9" fontId="1" fillId="0" borderId="0" xfId="0" applyNumberFormat="1" applyFont="1" applyBorder="1" applyAlignment="1" applyProtection="1">
      <alignment horizontal="right"/>
      <protection/>
    </xf>
    <xf numFmtId="10" fontId="1" fillId="0" borderId="0" xfId="0" applyNumberFormat="1" applyFont="1" applyBorder="1" applyAlignment="1" applyProtection="1">
      <alignment horizontal="right"/>
      <protection/>
    </xf>
    <xf numFmtId="10" fontId="1" fillId="0" borderId="0" xfId="0" applyNumberFormat="1" applyFont="1" applyAlignment="1" applyProtection="1">
      <alignment/>
      <protection/>
    </xf>
    <xf numFmtId="0" fontId="1" fillId="0" borderId="0" xfId="0" applyFont="1" applyFill="1" applyAlignment="1" applyProtection="1">
      <alignment horizontal="right" wrapText="1"/>
      <protection/>
    </xf>
    <xf numFmtId="0" fontId="4" fillId="7" borderId="21" xfId="0" applyFont="1" applyFill="1" applyBorder="1" applyAlignment="1" applyProtection="1">
      <alignment/>
      <protection/>
    </xf>
    <xf numFmtId="0" fontId="4" fillId="7" borderId="11" xfId="0" applyFont="1" applyFill="1" applyBorder="1" applyAlignment="1" applyProtection="1">
      <alignment/>
      <protection/>
    </xf>
    <xf numFmtId="0" fontId="4" fillId="7" borderId="16" xfId="0" applyFont="1" applyFill="1" applyBorder="1" applyAlignment="1" applyProtection="1">
      <alignment/>
      <protection/>
    </xf>
    <xf numFmtId="170" fontId="38" fillId="0" borderId="0" xfId="0" applyNumberFormat="1" applyFont="1" applyFill="1" applyAlignment="1" applyProtection="1">
      <alignment horizontal="center"/>
      <protection/>
    </xf>
    <xf numFmtId="0" fontId="38" fillId="0" borderId="0" xfId="0" applyFont="1" applyFill="1" applyBorder="1" applyAlignment="1" applyProtection="1">
      <alignment horizontal="center" wrapText="1"/>
      <protection/>
    </xf>
    <xf numFmtId="170" fontId="38" fillId="0" borderId="0" xfId="0" applyNumberFormat="1" applyFont="1" applyFill="1" applyAlignment="1" applyProtection="1">
      <alignment horizontal="center" wrapText="1"/>
      <protection/>
    </xf>
    <xf numFmtId="9" fontId="1" fillId="0" borderId="0" xfId="0" applyNumberFormat="1" applyFont="1" applyBorder="1" applyAlignment="1" applyProtection="1">
      <alignment/>
      <protection/>
    </xf>
    <xf numFmtId="0" fontId="4" fillId="7" borderId="19" xfId="0" applyFont="1" applyFill="1" applyBorder="1" applyAlignment="1">
      <alignment/>
    </xf>
    <xf numFmtId="0" fontId="4" fillId="20" borderId="13" xfId="0" applyFont="1" applyFill="1" applyBorder="1" applyAlignment="1">
      <alignment horizontal="center"/>
    </xf>
    <xf numFmtId="0" fontId="4" fillId="7" borderId="19" xfId="0" applyFont="1" applyFill="1" applyBorder="1" applyAlignment="1" applyProtection="1">
      <alignment/>
      <protection/>
    </xf>
    <xf numFmtId="0" fontId="1" fillId="7" borderId="20" xfId="0" applyFont="1" applyFill="1" applyBorder="1" applyAlignment="1" applyProtection="1">
      <alignment horizontal="right"/>
      <protection/>
    </xf>
    <xf numFmtId="0" fontId="4" fillId="20" borderId="13" xfId="0" applyFont="1" applyFill="1" applyBorder="1" applyAlignment="1" applyProtection="1">
      <alignment horizontal="center"/>
      <protection/>
    </xf>
    <xf numFmtId="0" fontId="1" fillId="0" borderId="22" xfId="0" applyFont="1" applyBorder="1" applyAlignment="1" applyProtection="1">
      <alignment/>
      <protection/>
    </xf>
    <xf numFmtId="0" fontId="1" fillId="0" borderId="13" xfId="0" applyFont="1" applyBorder="1" applyAlignment="1" applyProtection="1">
      <alignment wrapText="1"/>
      <protection/>
    </xf>
    <xf numFmtId="3" fontId="1" fillId="0" borderId="0" xfId="0" applyNumberFormat="1" applyFont="1" applyAlignment="1" applyProtection="1">
      <alignment horizontal="left" wrapText="1"/>
      <protection locked="0"/>
    </xf>
    <xf numFmtId="3" fontId="1" fillId="7" borderId="20" xfId="0" applyNumberFormat="1" applyFont="1" applyFill="1" applyBorder="1" applyAlignment="1">
      <alignment horizontal="right"/>
    </xf>
    <xf numFmtId="0" fontId="4" fillId="7" borderId="19" xfId="0" applyFont="1" applyFill="1" applyBorder="1" applyAlignment="1">
      <alignment/>
    </xf>
    <xf numFmtId="0" fontId="8" fillId="0" borderId="0" xfId="0" applyFont="1" applyFill="1" applyBorder="1" applyAlignment="1" applyProtection="1">
      <alignment horizontal="left" wrapText="1"/>
      <protection/>
    </xf>
    <xf numFmtId="0" fontId="33" fillId="0" borderId="0" xfId="0" applyFont="1" applyAlignment="1" applyProtection="1">
      <alignment horizontal="left" indent="1"/>
      <protection/>
    </xf>
    <xf numFmtId="3" fontId="1" fillId="0" borderId="0" xfId="0" applyNumberFormat="1" applyFont="1" applyAlignment="1" applyProtection="1">
      <alignment/>
      <protection/>
    </xf>
    <xf numFmtId="0" fontId="47" fillId="0" borderId="0" xfId="0" applyFont="1" applyFill="1" applyBorder="1" applyAlignment="1" applyProtection="1">
      <alignment horizontal="left"/>
      <protection/>
    </xf>
    <xf numFmtId="0" fontId="12"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7" borderId="21" xfId="0" applyFont="1" applyFill="1" applyBorder="1" applyAlignment="1">
      <alignment horizontal="center"/>
    </xf>
    <xf numFmtId="0" fontId="1" fillId="0" borderId="0" xfId="0" applyFont="1" applyBorder="1" applyAlignment="1" applyProtection="1">
      <alignment horizontal="center" wrapText="1"/>
      <protection locked="0"/>
    </xf>
    <xf numFmtId="0" fontId="1" fillId="0" borderId="0" xfId="0" applyFont="1" applyAlignment="1">
      <alignment horizontal="center" wrapText="1"/>
    </xf>
    <xf numFmtId="0" fontId="1" fillId="0" borderId="0" xfId="0" applyFont="1" applyBorder="1" applyAlignment="1" applyProtection="1">
      <alignment horizontal="center"/>
      <protection locked="0"/>
    </xf>
    <xf numFmtId="3" fontId="1" fillId="0" borderId="0" xfId="0" applyNumberFormat="1" applyFont="1" applyAlignment="1" applyProtection="1">
      <alignment horizontal="center"/>
      <protection locked="0"/>
    </xf>
    <xf numFmtId="3" fontId="1" fillId="0" borderId="0" xfId="0" applyNumberFormat="1" applyFont="1" applyAlignment="1">
      <alignment horizontal="center"/>
    </xf>
    <xf numFmtId="3" fontId="1" fillId="0" borderId="0" xfId="0" applyNumberFormat="1" applyFont="1" applyAlignment="1">
      <alignment horizontal="right"/>
    </xf>
    <xf numFmtId="0" fontId="1" fillId="0" borderId="0" xfId="0" applyFont="1" applyFill="1" applyAlignment="1">
      <alignment horizontal="right"/>
    </xf>
    <xf numFmtId="170" fontId="1" fillId="0" borderId="0" xfId="0" applyNumberFormat="1" applyFont="1" applyBorder="1" applyAlignment="1" applyProtection="1">
      <alignment horizontal="right"/>
      <protection locked="0"/>
    </xf>
    <xf numFmtId="0" fontId="1" fillId="0" borderId="0" xfId="0" applyFont="1" applyBorder="1" applyAlignment="1">
      <alignment horizontal="right"/>
    </xf>
    <xf numFmtId="3" fontId="1" fillId="0" borderId="0" xfId="0" applyNumberFormat="1" applyFont="1" applyBorder="1" applyAlignment="1">
      <alignment horizontal="right"/>
    </xf>
    <xf numFmtId="0" fontId="0" fillId="0" borderId="0" xfId="0" applyAlignment="1">
      <alignment horizontal="right"/>
    </xf>
    <xf numFmtId="0" fontId="1" fillId="0" borderId="0" xfId="0" applyFont="1" applyBorder="1" applyAlignment="1">
      <alignment horizontal="right" indent="4"/>
    </xf>
    <xf numFmtId="0" fontId="12" fillId="0" borderId="0" xfId="0" applyFont="1" applyAlignment="1" applyProtection="1">
      <alignment horizontal="left"/>
      <protection/>
    </xf>
    <xf numFmtId="0" fontId="46" fillId="0" borderId="0" xfId="0" applyFont="1" applyAlignment="1" applyProtection="1">
      <alignment horizontal="left"/>
      <protection/>
    </xf>
    <xf numFmtId="0" fontId="6" fillId="0" borderId="0" xfId="0" applyFont="1" applyAlignment="1">
      <alignment/>
    </xf>
    <xf numFmtId="0" fontId="1" fillId="0" borderId="23" xfId="0" applyFont="1" applyBorder="1" applyAlignment="1">
      <alignment horizontal="right" indent="1"/>
    </xf>
    <xf numFmtId="0" fontId="1" fillId="0" borderId="0" xfId="0" applyFont="1" applyAlignment="1">
      <alignment horizontal="left" indent="1"/>
    </xf>
    <xf numFmtId="0" fontId="11" fillId="24" borderId="0" xfId="0" applyFont="1" applyFill="1" applyAlignment="1">
      <alignment/>
    </xf>
    <xf numFmtId="3" fontId="1" fillId="0" borderId="0" xfId="0" applyNumberFormat="1" applyFont="1" applyAlignment="1">
      <alignment horizontal="left" indent="1"/>
    </xf>
    <xf numFmtId="9" fontId="1" fillId="0" borderId="0" xfId="0" applyNumberFormat="1" applyFont="1" applyAlignment="1">
      <alignment horizontal="left" indent="1"/>
    </xf>
    <xf numFmtId="0" fontId="1" fillId="0" borderId="0" xfId="0" applyNumberFormat="1" applyFont="1" applyAlignment="1">
      <alignment horizontal="left" indent="1"/>
    </xf>
    <xf numFmtId="0" fontId="1" fillId="0" borderId="0" xfId="0" applyFont="1" applyBorder="1" applyAlignment="1">
      <alignment horizontal="right" indent="1"/>
    </xf>
    <xf numFmtId="3" fontId="1" fillId="0" borderId="0" xfId="0" applyNumberFormat="1" applyFont="1" applyBorder="1" applyAlignment="1">
      <alignment horizontal="left" indent="1"/>
    </xf>
    <xf numFmtId="3" fontId="1" fillId="0" borderId="0" xfId="0" applyNumberFormat="1" applyFont="1" applyAlignment="1">
      <alignment horizontal="left" wrapText="1" indent="1"/>
    </xf>
    <xf numFmtId="0" fontId="37" fillId="0" borderId="23" xfId="0" applyFont="1" applyBorder="1" applyAlignment="1">
      <alignment horizontal="right" indent="1"/>
    </xf>
    <xf numFmtId="3" fontId="37" fillId="0" borderId="0" xfId="0" applyNumberFormat="1" applyFont="1" applyAlignment="1">
      <alignment horizontal="left" indent="1"/>
    </xf>
    <xf numFmtId="0" fontId="11" fillId="0" borderId="0" xfId="0" applyNumberFormat="1" applyFont="1" applyAlignment="1">
      <alignment/>
    </xf>
    <xf numFmtId="170" fontId="1" fillId="0" borderId="0" xfId="0" applyNumberFormat="1" applyFont="1" applyAlignment="1">
      <alignment horizontal="left" indent="1"/>
    </xf>
    <xf numFmtId="0" fontId="35" fillId="24" borderId="0" xfId="0" applyFont="1" applyFill="1" applyAlignment="1">
      <alignment/>
    </xf>
    <xf numFmtId="0" fontId="1" fillId="0" borderId="0" xfId="0" applyFont="1" applyBorder="1" applyAlignment="1" applyProtection="1">
      <alignment horizontal="left"/>
      <protection locked="0"/>
    </xf>
    <xf numFmtId="0" fontId="4" fillId="0" borderId="17" xfId="0" applyFont="1" applyFill="1" applyBorder="1" applyAlignment="1" applyProtection="1">
      <alignment horizontal="centerContinuous"/>
      <protection/>
    </xf>
    <xf numFmtId="0" fontId="1" fillId="0" borderId="18" xfId="0" applyFont="1" applyFill="1" applyBorder="1" applyAlignment="1" applyProtection="1">
      <alignment horizontal="centerContinuous"/>
      <protection/>
    </xf>
    <xf numFmtId="0" fontId="4" fillId="0" borderId="13" xfId="0" applyFont="1" applyFill="1" applyBorder="1" applyAlignment="1" applyProtection="1">
      <alignment horizontal="center"/>
      <protection/>
    </xf>
    <xf numFmtId="0" fontId="1" fillId="0" borderId="0" xfId="0" applyNumberFormat="1" applyFont="1" applyFill="1" applyBorder="1" applyAlignment="1" applyProtection="1">
      <alignment horizontal="left"/>
      <protection/>
    </xf>
    <xf numFmtId="0" fontId="4" fillId="0" borderId="0" xfId="0" applyFont="1" applyBorder="1" applyAlignment="1">
      <alignment horizontal="right" indent="1"/>
    </xf>
    <xf numFmtId="3" fontId="4" fillId="0" borderId="0" xfId="0" applyNumberFormat="1" applyFont="1" applyBorder="1" applyAlignment="1">
      <alignment horizontal="left" indent="1"/>
    </xf>
    <xf numFmtId="0" fontId="7" fillId="0" borderId="0" xfId="0" applyFont="1" applyFill="1" applyBorder="1" applyAlignment="1" applyProtection="1">
      <alignment horizontal="right"/>
      <protection/>
    </xf>
    <xf numFmtId="0" fontId="4" fillId="0" borderId="24" xfId="0" applyFont="1" applyFill="1" applyBorder="1" applyAlignment="1" applyProtection="1">
      <alignment horizontal="right"/>
      <protection/>
    </xf>
    <xf numFmtId="0" fontId="45" fillId="25" borderId="25" xfId="0" applyFont="1" applyFill="1" applyBorder="1" applyAlignment="1" applyProtection="1">
      <alignment horizontal="right"/>
      <protection/>
    </xf>
    <xf numFmtId="0" fontId="7" fillId="0" borderId="26" xfId="0" applyFont="1" applyFill="1" applyBorder="1" applyAlignment="1" applyProtection="1">
      <alignment horizontal="right"/>
      <protection/>
    </xf>
    <xf numFmtId="0" fontId="40" fillId="24" borderId="10" xfId="0" applyFont="1" applyFill="1" applyBorder="1" applyAlignment="1" applyProtection="1">
      <alignment horizontal="left"/>
      <protection/>
    </xf>
    <xf numFmtId="0" fontId="10" fillId="24" borderId="10" xfId="0" applyFont="1" applyFill="1" applyBorder="1" applyAlignment="1" applyProtection="1">
      <alignment horizontal="right"/>
      <protection/>
    </xf>
    <xf numFmtId="0" fontId="7" fillId="24" borderId="16" xfId="0" applyFont="1" applyFill="1" applyBorder="1" applyAlignment="1" applyProtection="1">
      <alignment horizontal="right"/>
      <protection/>
    </xf>
    <xf numFmtId="0" fontId="7" fillId="24" borderId="11" xfId="0" applyFont="1" applyFill="1" applyBorder="1" applyAlignment="1" applyProtection="1">
      <alignment horizontal="right"/>
      <protection/>
    </xf>
    <xf numFmtId="0" fontId="0" fillId="0" borderId="0" xfId="0" applyFill="1" applyBorder="1" applyAlignment="1" applyProtection="1">
      <alignment/>
      <protection/>
    </xf>
    <xf numFmtId="0" fontId="7" fillId="24" borderId="0" xfId="0" applyFont="1" applyFill="1" applyBorder="1" applyAlignment="1">
      <alignment horizontal="right"/>
    </xf>
    <xf numFmtId="0" fontId="4" fillId="24" borderId="16" xfId="0" applyFont="1" applyFill="1" applyBorder="1" applyAlignment="1" applyProtection="1">
      <alignment/>
      <protection/>
    </xf>
    <xf numFmtId="0" fontId="10" fillId="24" borderId="16"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10" fillId="24" borderId="16" xfId="0" applyFont="1" applyFill="1" applyBorder="1" applyAlignment="1" applyProtection="1">
      <alignment horizontal="right"/>
      <protection/>
    </xf>
    <xf numFmtId="0" fontId="10" fillId="24" borderId="15" xfId="0" applyFont="1" applyFill="1" applyBorder="1" applyAlignment="1" applyProtection="1">
      <alignment horizontal="right"/>
      <protection/>
    </xf>
    <xf numFmtId="3" fontId="11" fillId="0" borderId="0" xfId="0" applyNumberFormat="1" applyFont="1" applyFill="1" applyBorder="1" applyAlignment="1">
      <alignment horizontal="right"/>
    </xf>
    <xf numFmtId="0" fontId="7" fillId="0" borderId="0" xfId="0" applyFont="1" applyFill="1" applyBorder="1" applyAlignment="1">
      <alignment horizontal="right"/>
    </xf>
    <xf numFmtId="0" fontId="7" fillId="24" borderId="27" xfId="0" applyFont="1" applyFill="1" applyBorder="1" applyAlignment="1">
      <alignment horizontal="right"/>
    </xf>
    <xf numFmtId="0" fontId="34" fillId="0" borderId="28" xfId="0" applyFont="1" applyBorder="1" applyAlignment="1">
      <alignment/>
    </xf>
    <xf numFmtId="0" fontId="37" fillId="0" borderId="28" xfId="0" applyFont="1" applyBorder="1" applyAlignment="1">
      <alignment/>
    </xf>
    <xf numFmtId="0" fontId="48" fillId="0" borderId="0" xfId="0" applyFont="1" applyAlignment="1">
      <alignment/>
    </xf>
    <xf numFmtId="0" fontId="49" fillId="0" borderId="0" xfId="0" applyFont="1" applyAlignment="1">
      <alignment/>
    </xf>
    <xf numFmtId="0" fontId="1" fillId="0" borderId="0" xfId="0" applyFont="1" applyAlignment="1" applyProtection="1">
      <alignment wrapText="1"/>
      <protection locked="0"/>
    </xf>
    <xf numFmtId="0" fontId="1" fillId="0" borderId="0" xfId="0" applyFont="1" applyAlignment="1" applyProtection="1">
      <alignment/>
      <protection locked="0"/>
    </xf>
    <xf numFmtId="175" fontId="4" fillId="0" borderId="0" xfId="0" applyNumberFormat="1" applyFont="1" applyBorder="1" applyAlignment="1" applyProtection="1">
      <alignment horizontal="right"/>
      <protection locked="0"/>
    </xf>
    <xf numFmtId="0" fontId="40" fillId="24" borderId="10" xfId="0" applyFont="1" applyFill="1" applyBorder="1" applyAlignment="1" applyProtection="1">
      <alignment horizontal="right"/>
      <protection/>
    </xf>
    <xf numFmtId="0" fontId="4" fillId="20" borderId="10" xfId="0" applyFont="1" applyFill="1" applyBorder="1" applyAlignment="1" applyProtection="1">
      <alignment horizontal="centerContinuous"/>
      <protection/>
    </xf>
    <xf numFmtId="0" fontId="1" fillId="20" borderId="11" xfId="0" applyFont="1" applyFill="1" applyBorder="1" applyAlignment="1" applyProtection="1">
      <alignment horizontal="centerContinuous"/>
      <protection/>
    </xf>
    <xf numFmtId="0" fontId="4" fillId="0" borderId="0" xfId="0" applyFont="1" applyAlignment="1" applyProtection="1">
      <alignment horizontal="center" wrapText="1"/>
      <protection/>
    </xf>
    <xf numFmtId="3" fontId="4" fillId="0" borderId="0" xfId="0" applyNumberFormat="1" applyFont="1" applyFill="1" applyAlignment="1" applyProtection="1">
      <alignment/>
      <protection/>
    </xf>
    <xf numFmtId="0" fontId="1" fillId="0" borderId="12" xfId="0" applyFont="1" applyBorder="1" applyAlignment="1">
      <alignment/>
    </xf>
    <xf numFmtId="0" fontId="1" fillId="0" borderId="26" xfId="0" applyFont="1" applyFill="1" applyBorder="1" applyAlignment="1" applyProtection="1">
      <alignment wrapText="1"/>
      <protection/>
    </xf>
    <xf numFmtId="170" fontId="1" fillId="0" borderId="26" xfId="0" applyNumberFormat="1" applyFont="1" applyFill="1" applyBorder="1" applyAlignment="1" applyProtection="1">
      <alignment/>
      <protection/>
    </xf>
    <xf numFmtId="0" fontId="1" fillId="0" borderId="26" xfId="0" applyFont="1" applyFill="1" applyBorder="1" applyAlignment="1" applyProtection="1">
      <alignment/>
      <protection/>
    </xf>
    <xf numFmtId="170" fontId="1" fillId="0" borderId="26" xfId="0" applyNumberFormat="1" applyFont="1" applyBorder="1" applyAlignment="1" applyProtection="1">
      <alignment/>
      <protection/>
    </xf>
    <xf numFmtId="0" fontId="43" fillId="0" borderId="29" xfId="0" applyFont="1" applyBorder="1" applyAlignment="1">
      <alignment horizontal="left" wrapText="1"/>
    </xf>
    <xf numFmtId="0" fontId="1" fillId="0" borderId="30" xfId="0" applyFont="1" applyBorder="1" applyAlignment="1">
      <alignment horizontal="left" wrapText="1" indent="1"/>
    </xf>
    <xf numFmtId="0" fontId="1" fillId="0" borderId="0" xfId="0" applyFont="1" applyBorder="1" applyAlignment="1">
      <alignment horizontal="left" wrapText="1" indent="1"/>
    </xf>
    <xf numFmtId="0" fontId="38" fillId="0" borderId="0" xfId="0" applyFont="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5">
    <dxf>
      <font>
        <b/>
        <i val="0"/>
        <color indexed="10"/>
      </font>
    </dxf>
    <dxf>
      <fill>
        <patternFill patternType="gray0625">
          <fgColor indexed="10"/>
          <bgColor indexed="65"/>
        </patternFill>
      </fill>
      <border>
        <left style="thin">
          <color indexed="10"/>
        </left>
        <right style="thin">
          <color indexed="10"/>
        </right>
        <top style="thin">
          <color indexed="10"/>
        </top>
        <bottom style="thin">
          <color indexed="10"/>
        </bottom>
      </border>
    </dxf>
    <dxf>
      <fill>
        <patternFill patternType="none">
          <fgColor indexed="64"/>
          <bgColor indexed="65"/>
        </patternFill>
      </fill>
      <border>
        <left/>
        <right/>
        <top/>
        <bottom/>
      </border>
    </dxf>
    <dxf>
      <fill>
        <patternFill patternType="gray0625">
          <fgColor indexed="10"/>
        </patternFill>
      </fill>
      <border>
        <left style="thin">
          <color indexed="10"/>
        </left>
        <right style="thin">
          <color indexed="10"/>
        </right>
        <top style="thin">
          <color indexed="10"/>
        </top>
        <bottom style="thin">
          <color indexed="10"/>
        </bottom>
      </border>
    </dxf>
    <dxf/>
    <dxf>
      <fill>
        <patternFill patternType="gray0625">
          <fgColor indexed="10"/>
        </patternFill>
      </fill>
      <border>
        <left style="thin">
          <color indexed="10"/>
        </left>
        <right style="thin">
          <color indexed="10"/>
        </right>
        <top style="thin">
          <color indexed="10"/>
        </top>
        <bottom style="thin">
          <color indexed="10"/>
        </bottom>
      </border>
    </dxf>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bgColor indexed="65"/>
        </patternFill>
      </fill>
      <border>
        <left style="thin">
          <color indexed="10"/>
        </left>
        <right style="thin">
          <color indexed="10"/>
        </right>
        <top style="thin">
          <color indexed="10"/>
        </top>
        <bottom style="thin">
          <color indexed="10"/>
        </bottom>
      </border>
    </dxf>
    <dxf>
      <fill>
        <patternFill patternType="none">
          <fgColor indexed="64"/>
          <bgColor indexed="65"/>
        </patternFill>
      </fill>
      <border>
        <left/>
        <right/>
        <top/>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dxf>
      <font>
        <color indexed="23"/>
      </font>
    </dxf>
    <dxf>
      <font>
        <b/>
        <i val="0"/>
        <color indexed="8"/>
      </font>
    </dxf>
    <dxf>
      <font>
        <b/>
        <i val="0"/>
        <color indexed="53"/>
      </font>
    </dxf>
    <dxf>
      <font>
        <b/>
        <i val="0"/>
        <color indexed="12"/>
      </font>
    </dxf>
    <dxf>
      <fill>
        <patternFill patternType="gray0625">
          <fgColor indexed="10"/>
        </patternFill>
      </fill>
      <border>
        <left style="thin">
          <color indexed="10"/>
        </left>
        <right style="thin">
          <color indexed="10"/>
        </right>
        <top style="thin">
          <color indexed="10"/>
        </top>
        <bottom style="thin">
          <color indexed="10"/>
        </bottom>
      </border>
    </dxf>
    <dxf>
      <font>
        <b/>
        <i val="0"/>
      </font>
    </dxf>
    <dxf>
      <font>
        <b/>
        <i val="0"/>
        <color indexed="10"/>
      </font>
    </dxf>
    <dxf>
      <fill>
        <patternFill patternType="gray0625">
          <fgColor indexed="10"/>
        </patternFill>
      </fill>
      <border>
        <left style="thin">
          <color indexed="10"/>
        </left>
        <right style="thin">
          <color indexed="10"/>
        </right>
        <top style="thin">
          <color indexed="10"/>
        </top>
        <bottom style="thin">
          <color indexed="10"/>
        </bottom>
      </border>
    </dxf>
    <dxf>
      <fill>
        <patternFill>
          <bgColor indexed="26"/>
        </patternFill>
      </fill>
      <border>
        <left>
          <color indexed="63"/>
        </left>
        <right>
          <color indexed="63"/>
        </right>
        <top>
          <color indexed="63"/>
        </top>
        <bottom style="thin">
          <color indexed="10"/>
        </bottom>
      </border>
    </dxf>
    <dxf>
      <font>
        <b val="0"/>
        <i val="0"/>
        <color indexed="8"/>
      </font>
    </dxf>
    <dxf>
      <fill>
        <patternFill patternType="gray0625">
          <fgColor indexed="10"/>
        </patternFill>
      </fill>
      <border>
        <left style="thin">
          <color indexed="10"/>
        </left>
        <right style="thin">
          <color indexed="10"/>
        </right>
        <top style="thin">
          <color indexed="10"/>
        </top>
        <bottom style="thin">
          <color indexed="10"/>
        </bottom>
      </border>
    </dxf>
    <dxf>
      <font>
        <b/>
        <i val="0"/>
        <color indexed="51"/>
      </font>
      <fill>
        <patternFill>
          <bgColor indexed="10"/>
        </patternFill>
      </fill>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ont>
        <b/>
        <i val="0"/>
        <color indexed="51"/>
      </font>
      <fill>
        <patternFill>
          <bgColor indexed="10"/>
        </patternFill>
      </fill>
    </dxf>
    <dxf>
      <font>
        <b val="0"/>
        <i val="0"/>
        <color indexed="8"/>
      </font>
    </dxf>
    <dxf>
      <fill>
        <patternFill>
          <bgColor indexed="26"/>
        </patternFill>
      </fill>
      <border>
        <left>
          <color indexed="63"/>
        </left>
        <right>
          <color indexed="63"/>
        </right>
        <top>
          <color indexed="63"/>
        </top>
        <bottom style="thin">
          <color indexed="10"/>
        </bottom>
      </border>
    </dxf>
    <dxf>
      <font>
        <b/>
        <i val="0"/>
      </font>
    </dxf>
    <dxf>
      <font>
        <b/>
        <i val="0"/>
        <color indexed="10"/>
      </font>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bgColor indexed="9"/>
        </patternFill>
      </fill>
      <border>
        <left style="thin">
          <color indexed="10"/>
        </left>
        <right style="thin">
          <color indexed="10"/>
        </right>
        <top style="thin">
          <color indexed="10"/>
        </top>
        <bottom style="thin">
          <color indexed="10"/>
        </bottom>
      </border>
    </dxf>
    <dxf>
      <font>
        <b val="0"/>
        <i val="0"/>
        <color auto="1"/>
      </font>
      <fill>
        <patternFill patternType="gray0625">
          <fgColor indexed="10"/>
          <bgColor indexed="65"/>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bgColor indexed="9"/>
        </patternFill>
      </fill>
      <border>
        <left style="thin">
          <color indexed="10"/>
        </left>
        <right style="thin">
          <color indexed="10"/>
        </right>
        <top style="thin">
          <color indexed="10"/>
        </top>
        <bottom style="thin">
          <color indexed="10"/>
        </bottom>
      </border>
    </dxf>
    <dxf>
      <fill>
        <patternFill patternType="gray0625">
          <fgColor indexed="10"/>
          <bgColor indexed="9"/>
        </patternFill>
      </fill>
      <border>
        <left style="thin">
          <color indexed="10"/>
        </left>
        <right style="thin">
          <color indexed="10"/>
        </right>
        <top style="thin">
          <color indexed="10"/>
        </top>
        <bottom style="thin">
          <color indexed="10"/>
        </bottom>
      </border>
    </dxf>
    <dxf>
      <fill>
        <patternFill patternType="gray0625">
          <fgColor indexed="10"/>
          <bgColor indexed="9"/>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ont>
        <b/>
        <i val="0"/>
        <color indexed="51"/>
      </font>
      <fill>
        <patternFill>
          <bgColor indexed="10"/>
        </patternFill>
      </fill>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bgColor indexed="9"/>
        </patternFill>
      </fill>
      <border>
        <left style="thin">
          <color indexed="10"/>
        </left>
        <right style="thin">
          <color indexed="10"/>
        </right>
        <top style="thin">
          <color indexed="10"/>
        </top>
        <bottom style="thin">
          <color indexed="10"/>
        </bottom>
      </border>
    </dxf>
    <dxf>
      <fill>
        <patternFill patternType="gray0625">
          <fgColor indexed="10"/>
          <bgColor indexed="9"/>
        </patternFill>
      </fill>
      <border>
        <left style="thin">
          <color indexed="10"/>
        </left>
        <right style="thin">
          <color indexed="10"/>
        </right>
        <top style="thin">
          <color indexed="10"/>
        </top>
        <bottom style="thin">
          <color indexed="10"/>
        </bottom>
      </border>
    </dxf>
    <dxf>
      <fill>
        <patternFill patternType="gray0625">
          <fgColor indexed="10"/>
          <bgColor indexed="9"/>
        </patternFill>
      </fill>
      <border>
        <left style="thin">
          <color indexed="10"/>
        </left>
        <right style="thin">
          <color indexed="10"/>
        </right>
        <top style="thin">
          <color indexed="10"/>
        </top>
        <bottom style="thin">
          <color indexed="10"/>
        </bottom>
      </border>
    </dxf>
    <dxf>
      <font>
        <b/>
        <i val="0"/>
      </font>
      <fill>
        <patternFill>
          <bgColor indexed="47"/>
        </patternFill>
      </fill>
    </dxf>
    <dxf>
      <font>
        <b/>
        <i val="0"/>
        <color indexed="8"/>
      </font>
      <fill>
        <patternFill patternType="solid">
          <bgColor indexed="47"/>
        </patternFill>
      </fill>
    </dxf>
    <dxf>
      <font>
        <b/>
        <i val="0"/>
        <color indexed="51"/>
      </font>
      <fill>
        <patternFill>
          <bgColor indexed="10"/>
        </patternFill>
      </fill>
    </dxf>
    <dxf>
      <font>
        <b/>
        <i val="0"/>
        <color indexed="10"/>
      </font>
      <fill>
        <patternFill patternType="none">
          <bgColor indexed="65"/>
        </patternFill>
      </fill>
    </dxf>
    <dxf>
      <font>
        <color auto="1"/>
      </font>
      <fill>
        <patternFill patternType="gray0625">
          <fgColor indexed="10"/>
          <bgColor indexed="65"/>
        </patternFill>
      </fill>
    </dxf>
    <dxf>
      <font>
        <color auto="1"/>
      </font>
      <fill>
        <patternFill patternType="gray0625">
          <fgColor indexed="10"/>
          <bgColor indexed="65"/>
        </patternFill>
      </fill>
    </dxf>
    <dxf>
      <font>
        <color auto="1"/>
      </font>
      <fill>
        <patternFill patternType="gray0625">
          <fgColor indexed="10"/>
          <bgColor indexed="65"/>
        </patternFill>
      </fill>
    </dxf>
    <dxf>
      <fill>
        <patternFill patternType="gray0625">
          <fgColor indexed="10"/>
          <bgColor indexed="9"/>
        </patternFill>
      </fill>
      <border>
        <left style="thin">
          <color indexed="10"/>
        </left>
        <right style="thin">
          <color indexed="10"/>
        </right>
        <top style="thin">
          <color indexed="10"/>
        </top>
        <bottom style="thin">
          <color indexed="10"/>
        </bottom>
      </border>
    </dxf>
    <dxf>
      <font>
        <color auto="1"/>
      </font>
      <fill>
        <patternFill patternType="gray0625">
          <fgColor indexed="10"/>
          <bgColor indexed="65"/>
        </patternFill>
      </fill>
    </dxf>
    <dxf>
      <fill>
        <patternFill patternType="gray0625">
          <fgColor indexed="10"/>
          <bgColor indexed="9"/>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patternFill>
      </fill>
      <border>
        <left style="thin">
          <color indexed="10"/>
        </left>
        <right style="thin">
          <color indexed="10"/>
        </right>
        <top style="thin">
          <color indexed="10"/>
        </top>
        <bottom style="thin">
          <color indexed="10"/>
        </bottom>
      </border>
    </dxf>
    <dxf>
      <font>
        <color indexed="9"/>
      </font>
    </dxf>
    <dxf>
      <font>
        <color indexed="9"/>
      </font>
    </dxf>
    <dxf>
      <font>
        <color indexed="9"/>
      </font>
    </dxf>
    <dxf>
      <font>
        <color indexed="9"/>
      </font>
      <fill>
        <patternFill patternType="none">
          <bgColor indexed="65"/>
        </patternFill>
      </fill>
    </dxf>
    <dxf>
      <font>
        <color indexed="9"/>
      </font>
      <fill>
        <patternFill patternType="none">
          <bgColor indexed="65"/>
        </patternFill>
      </fill>
    </dxf>
    <dxf>
      <font>
        <color auto="1"/>
      </font>
      <fill>
        <patternFill patternType="gray0625">
          <fgColor indexed="10"/>
          <bgColor indexed="65"/>
        </patternFill>
      </fill>
    </dxf>
    <dxf>
      <font>
        <b/>
        <i val="0"/>
      </font>
    </dxf>
    <dxf>
      <font>
        <b/>
        <i val="0"/>
        <color indexed="10"/>
      </font>
    </dxf>
    <dxf>
      <fill>
        <patternFill patternType="gray0625">
          <fgColor indexed="10"/>
        </patternFill>
      </fill>
      <border>
        <left style="thin">
          <color indexed="10"/>
        </left>
        <right style="thin">
          <color indexed="10"/>
        </right>
        <top style="thin">
          <color indexed="10"/>
        </top>
        <bottom style="thin">
          <color indexed="10"/>
        </bottom>
      </border>
    </dxf>
    <dxf>
      <fill>
        <patternFill>
          <bgColor indexed="26"/>
        </patternFill>
      </fill>
      <border>
        <left>
          <color indexed="63"/>
        </left>
        <right>
          <color indexed="63"/>
        </right>
        <top>
          <color indexed="63"/>
        </top>
        <bottom style="thin">
          <color indexed="10"/>
        </bottom>
      </border>
    </dxf>
    <dxf>
      <font>
        <b val="0"/>
        <i val="0"/>
        <color indexed="8"/>
      </font>
    </dxf>
    <dxf>
      <fill>
        <patternFill patternType="gray0625">
          <fgColor indexed="10"/>
        </patternFill>
      </fill>
      <border>
        <left style="thin">
          <color indexed="10"/>
        </left>
        <right style="thin">
          <color indexed="10"/>
        </right>
        <top style="thin">
          <color indexed="10"/>
        </top>
        <bottom style="thin">
          <color indexed="10"/>
        </bottom>
      </border>
    </dxf>
    <dxf>
      <fill>
        <patternFill patternType="none">
          <fgColor indexed="64"/>
          <bgColor indexed="65"/>
        </patternFill>
      </fill>
    </dxf>
    <dxf>
      <fill>
        <patternFill patternType="gray0625">
          <fgColor indexed="10"/>
        </patternFill>
      </fill>
      <border>
        <left style="thin">
          <color indexed="10"/>
        </left>
        <right style="thin">
          <color indexed="10"/>
        </right>
        <top style="thin">
          <color indexed="10"/>
        </top>
        <bottom style="thin">
          <color indexed="10"/>
        </bottom>
      </border>
    </dxf>
    <dxf>
      <fill>
        <patternFill patternType="gray0625">
          <fgColor indexed="10"/>
          <bgColor indexed="9"/>
        </patternFill>
      </fill>
      <border>
        <left style="thin">
          <color indexed="10"/>
        </left>
        <right style="thin">
          <color indexed="10"/>
        </right>
        <top style="thin">
          <color indexed="10"/>
        </top>
        <bottom style="thin">
          <color indexed="10"/>
        </bottom>
      </border>
    </dxf>
    <dxf>
      <fill>
        <patternFill patternType="gray0625">
          <fgColor indexed="10"/>
          <bgColor indexed="9"/>
        </patternFill>
      </fill>
      <border>
        <left style="thin">
          <color indexed="10"/>
        </left>
        <right style="thin">
          <color indexed="10"/>
        </right>
        <top style="thin">
          <color indexed="10"/>
        </top>
        <bottom style="thin">
          <color indexed="10"/>
        </bottom>
      </border>
    </dxf>
    <dxf>
      <font>
        <color auto="1"/>
      </font>
      <fill>
        <patternFill patternType="solid">
          <fgColor indexed="10"/>
          <bgColor indexed="26"/>
        </patternFill>
      </fill>
    </dxf>
    <dxf>
      <fill>
        <patternFill patternType="gray0625">
          <fgColor indexed="10"/>
          <bgColor indexed="65"/>
        </patternFill>
      </fill>
      <border>
        <left style="thin">
          <color indexed="10"/>
        </left>
        <right style="thin">
          <color indexed="10"/>
        </right>
        <top style="thin">
          <color indexed="10"/>
        </top>
        <bottom style="thin">
          <color indexed="10"/>
        </bottom>
      </border>
    </dxf>
    <dxf>
      <fill>
        <patternFill patternType="solid">
          <fgColor indexed="10"/>
          <bgColor indexed="26"/>
        </patternFill>
      </fill>
    </dxf>
    <dxf>
      <fill>
        <patternFill patternType="gray0625">
          <fgColor indexed="10"/>
          <bgColor indexed="9"/>
        </patternFill>
      </fill>
    </dxf>
    <dxf>
      <font>
        <color auto="1"/>
      </font>
      <fill>
        <patternFill patternType="gray0625">
          <fgColor indexed="10"/>
          <bgColor indexed="65"/>
        </patternFill>
      </fill>
    </dxf>
    <dxf>
      <font>
        <color auto="1"/>
      </font>
      <fill>
        <patternFill patternType="gray0625">
          <fgColor indexed="10"/>
          <bgColor indexed="65"/>
        </patternFill>
      </fill>
    </dxf>
    <dxf>
      <fill>
        <patternFill patternType="gray0625">
          <fgColor rgb="FFFF0000"/>
          <bgColor indexed="65"/>
        </patternFill>
      </fill>
      <border>
        <left style="thin">
          <color rgb="FFFF0000"/>
        </left>
        <right style="thin">
          <color rgb="FFFF0000"/>
        </right>
        <top style="thin"/>
        <bottom style="thin">
          <color rgb="FFFF0000"/>
        </bottom>
      </border>
    </dxf>
    <dxf>
      <fill>
        <patternFill patternType="gray0625">
          <fgColor rgb="FFFF0000"/>
          <bgColor rgb="FFFFFFFF"/>
        </patternFill>
      </fill>
      <border>
        <left style="thin">
          <color rgb="FFFF0000"/>
        </left>
        <right style="thin">
          <color rgb="FFFF0000"/>
        </right>
        <top style="thin"/>
        <bottom style="thin">
          <color rgb="FFFF0000"/>
        </bottom>
      </border>
    </dxf>
    <dxf>
      <fill>
        <patternFill patternType="gray0625">
          <fgColor rgb="FFFF00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6"/>
  </sheetPr>
  <dimension ref="A1:IV86"/>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2.75" outlineLevelCol="1"/>
  <cols>
    <col min="1" max="1" width="52.28125" style="52" customWidth="1"/>
    <col min="2" max="2" width="12.140625" style="61" customWidth="1"/>
    <col min="3" max="3" width="14.7109375" style="52" customWidth="1"/>
    <col min="4" max="4" width="9.140625" style="52" customWidth="1"/>
    <col min="5" max="5" width="10.421875" style="52" customWidth="1"/>
    <col min="6" max="6" width="9.140625" style="52" customWidth="1"/>
    <col min="7" max="7" width="8.421875" style="52" customWidth="1"/>
    <col min="8" max="8" width="16.7109375" style="52" bestFit="1" customWidth="1"/>
    <col min="9" max="9" width="15.28125" style="52" bestFit="1" customWidth="1"/>
    <col min="10" max="10" width="11.7109375" style="52" bestFit="1" customWidth="1"/>
    <col min="11" max="11" width="9.7109375" style="52" bestFit="1" customWidth="1"/>
    <col min="12" max="12" width="9.00390625" style="61" bestFit="1" customWidth="1"/>
    <col min="13" max="13" width="9.140625" style="62" customWidth="1"/>
    <col min="14" max="14" width="15.57421875" style="52" hidden="1" customWidth="1" outlineLevel="1"/>
    <col min="15" max="15" width="9.140625" style="52" hidden="1" customWidth="1" outlineLevel="1"/>
    <col min="16" max="16" width="9.140625" style="52" customWidth="1" collapsed="1"/>
    <col min="17" max="17" width="15.57421875" style="52" hidden="1" customWidth="1" outlineLevel="1"/>
    <col min="18" max="18" width="13.140625" style="53" customWidth="1" collapsed="1"/>
    <col min="19" max="16384" width="9.140625" style="52" customWidth="1"/>
  </cols>
  <sheetData>
    <row r="1" spans="1:256" s="224" customFormat="1" ht="14.25" thickBot="1">
      <c r="A1" s="273" t="s">
        <v>428</v>
      </c>
      <c r="B1" s="274"/>
      <c r="C1" s="58"/>
      <c r="D1" s="275"/>
      <c r="E1" s="275"/>
      <c r="F1" s="275"/>
      <c r="G1" s="275"/>
      <c r="H1" s="275"/>
      <c r="I1" s="275"/>
      <c r="J1" s="275"/>
      <c r="K1" s="275"/>
      <c r="L1" s="275"/>
      <c r="M1" s="272"/>
      <c r="N1" s="58"/>
      <c r="O1" s="58"/>
      <c r="P1" s="58"/>
      <c r="Q1" s="58"/>
      <c r="R1" s="69"/>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18" s="58" customFormat="1" ht="16.5">
      <c r="A2" s="276">
        <f>IF(B4="","",B4)</f>
      </c>
      <c r="B2" s="277"/>
      <c r="C2" s="278"/>
      <c r="D2" s="278"/>
      <c r="E2" s="278"/>
      <c r="F2" s="278"/>
      <c r="G2" s="278"/>
      <c r="H2" s="278"/>
      <c r="I2" s="278"/>
      <c r="J2" s="278"/>
      <c r="K2" s="278"/>
      <c r="L2" s="278"/>
      <c r="M2" s="272"/>
      <c r="R2" s="69"/>
    </row>
    <row r="3" spans="1:18" ht="12.75">
      <c r="A3" s="54" t="s">
        <v>27</v>
      </c>
      <c r="B3" s="55"/>
      <c r="C3" s="55"/>
      <c r="D3" s="55"/>
      <c r="E3" s="55"/>
      <c r="F3" s="55"/>
      <c r="G3" s="55"/>
      <c r="H3" s="55"/>
      <c r="I3" s="55"/>
      <c r="J3" s="55"/>
      <c r="K3" s="55"/>
      <c r="L3" s="56"/>
      <c r="M3" s="57"/>
      <c r="N3" s="298" t="s">
        <v>173</v>
      </c>
      <c r="O3" s="299"/>
      <c r="P3" s="58"/>
      <c r="Q3" s="223" t="s">
        <v>189</v>
      </c>
      <c r="R3" s="59"/>
    </row>
    <row r="4" spans="1:18" s="53" customFormat="1" ht="12.75">
      <c r="A4" s="57" t="s">
        <v>426</v>
      </c>
      <c r="B4" s="265"/>
      <c r="C4" s="57"/>
      <c r="D4" s="57"/>
      <c r="E4" s="57"/>
      <c r="F4" s="57"/>
      <c r="G4" s="57"/>
      <c r="H4" s="57"/>
      <c r="I4" s="57"/>
      <c r="J4" s="57"/>
      <c r="K4" s="57"/>
      <c r="L4" s="57"/>
      <c r="M4" s="57"/>
      <c r="N4" s="266"/>
      <c r="O4" s="267"/>
      <c r="P4" s="69"/>
      <c r="Q4" s="268"/>
      <c r="R4" s="59"/>
    </row>
    <row r="5" spans="1:18" s="53" customFormat="1" ht="12.75">
      <c r="A5" s="57" t="s">
        <v>422</v>
      </c>
      <c r="B5" s="265"/>
      <c r="C5" s="57"/>
      <c r="D5" s="57"/>
      <c r="E5" s="57"/>
      <c r="F5" s="57"/>
      <c r="G5" s="57"/>
      <c r="H5" s="57"/>
      <c r="I5" s="57"/>
      <c r="J5" s="57"/>
      <c r="K5" s="57"/>
      <c r="L5" s="57"/>
      <c r="M5" s="57"/>
      <c r="N5" s="266"/>
      <c r="O5" s="267"/>
      <c r="P5" s="69"/>
      <c r="Q5" s="268"/>
      <c r="R5" s="59"/>
    </row>
    <row r="6" spans="1:18" s="53" customFormat="1" ht="12.75">
      <c r="A6" s="57" t="s">
        <v>423</v>
      </c>
      <c r="B6" s="265"/>
      <c r="C6" s="57"/>
      <c r="D6" s="57"/>
      <c r="E6" s="57"/>
      <c r="F6" s="57"/>
      <c r="G6" s="57"/>
      <c r="H6" s="57"/>
      <c r="I6" s="57"/>
      <c r="J6" s="57"/>
      <c r="K6" s="57"/>
      <c r="L6" s="57"/>
      <c r="M6" s="57"/>
      <c r="N6" s="266"/>
      <c r="O6" s="267"/>
      <c r="P6" s="69"/>
      <c r="Q6" s="268"/>
      <c r="R6" s="59"/>
    </row>
    <row r="7" spans="1:18" s="53" customFormat="1" ht="12.75">
      <c r="A7" s="57"/>
      <c r="B7" s="269"/>
      <c r="C7" s="57"/>
      <c r="D7" s="57"/>
      <c r="E7" s="57"/>
      <c r="F7" s="57"/>
      <c r="G7" s="57"/>
      <c r="H7" s="57"/>
      <c r="I7" s="57"/>
      <c r="J7" s="57"/>
      <c r="K7" s="57"/>
      <c r="L7" s="57"/>
      <c r="M7" s="57"/>
      <c r="N7" s="266"/>
      <c r="O7" s="267"/>
      <c r="P7" s="69"/>
      <c r="Q7" s="268"/>
      <c r="R7" s="59"/>
    </row>
    <row r="8" spans="1:18" s="53" customFormat="1" ht="12.75">
      <c r="A8" s="57" t="s">
        <v>424</v>
      </c>
      <c r="B8" s="265"/>
      <c r="C8" s="57"/>
      <c r="D8" s="57"/>
      <c r="E8" s="57"/>
      <c r="F8" s="57"/>
      <c r="G8" s="57"/>
      <c r="H8" s="57"/>
      <c r="I8" s="57"/>
      <c r="J8" s="57"/>
      <c r="K8" s="57"/>
      <c r="L8" s="57"/>
      <c r="M8" s="57"/>
      <c r="N8" s="266"/>
      <c r="O8" s="267"/>
      <c r="P8" s="69"/>
      <c r="Q8" s="268"/>
      <c r="R8" s="59"/>
    </row>
    <row r="9" spans="1:18" s="53" customFormat="1" ht="12.75">
      <c r="A9" s="57" t="s">
        <v>425</v>
      </c>
      <c r="B9" s="265"/>
      <c r="C9" s="57"/>
      <c r="D9" s="57"/>
      <c r="E9" s="57"/>
      <c r="F9" s="57"/>
      <c r="G9" s="57"/>
      <c r="H9" s="57"/>
      <c r="I9" s="57"/>
      <c r="J9" s="57"/>
      <c r="K9" s="57"/>
      <c r="L9" s="57"/>
      <c r="M9" s="57"/>
      <c r="N9" s="266"/>
      <c r="O9" s="267"/>
      <c r="P9" s="69"/>
      <c r="Q9" s="268"/>
      <c r="R9" s="59"/>
    </row>
    <row r="10" spans="1:18" s="53" customFormat="1" ht="12.75">
      <c r="A10" s="71"/>
      <c r="B10" s="57"/>
      <c r="C10" s="57"/>
      <c r="D10" s="57"/>
      <c r="E10" s="57"/>
      <c r="F10" s="57"/>
      <c r="G10" s="57"/>
      <c r="H10" s="57"/>
      <c r="I10" s="57"/>
      <c r="J10" s="57"/>
      <c r="K10" s="57"/>
      <c r="L10" s="57"/>
      <c r="M10" s="57"/>
      <c r="N10" s="266"/>
      <c r="O10" s="267"/>
      <c r="P10" s="69"/>
      <c r="Q10" s="65" t="s">
        <v>2</v>
      </c>
      <c r="R10" s="59"/>
    </row>
    <row r="11" spans="1:18" ht="12.75">
      <c r="A11" s="80" t="s">
        <v>317</v>
      </c>
      <c r="B11" s="296"/>
      <c r="C11" s="52" t="s">
        <v>1</v>
      </c>
      <c r="N11" s="63" t="s">
        <v>4</v>
      </c>
      <c r="O11" s="64">
        <f>B11</f>
        <v>0</v>
      </c>
      <c r="P11" s="58"/>
      <c r="Q11" s="65" t="s">
        <v>3</v>
      </c>
      <c r="R11" s="66"/>
    </row>
    <row r="12" spans="1:18" ht="12.75">
      <c r="A12" s="60"/>
      <c r="B12" s="58"/>
      <c r="N12" s="63"/>
      <c r="O12" s="64"/>
      <c r="P12" s="58"/>
      <c r="Q12" s="65" t="s">
        <v>438</v>
      </c>
      <c r="R12" s="66"/>
    </row>
    <row r="13" spans="1:18" ht="27" customHeight="1">
      <c r="A13" s="229" t="s">
        <v>356</v>
      </c>
      <c r="B13" s="58"/>
      <c r="G13" s="67"/>
      <c r="N13" s="63"/>
      <c r="O13" s="64"/>
      <c r="P13" s="58"/>
      <c r="Q13" s="68"/>
      <c r="R13" s="69"/>
    </row>
    <row r="14" spans="1:18" ht="12.75">
      <c r="A14" s="120" t="s">
        <v>167</v>
      </c>
      <c r="B14" s="119"/>
      <c r="N14" s="63"/>
      <c r="O14" s="64"/>
      <c r="P14" s="58"/>
      <c r="Q14" s="70" t="s">
        <v>15</v>
      </c>
      <c r="R14" s="71"/>
    </row>
    <row r="15" spans="1:18" ht="12.75">
      <c r="A15" s="61">
        <f>IF(B14="Yes","How much acreage?","")</f>
      </c>
      <c r="B15" s="110"/>
      <c r="C15" s="52">
        <f>IF(B14="Yes","acres","")</f>
      </c>
      <c r="D15" s="72">
        <f>IF(AND(B15&lt;&gt;0,B16&lt;&gt;0),"Please report data as acres OR as a percentage, not both","")</f>
      </c>
      <c r="N15" s="63" t="s">
        <v>5</v>
      </c>
      <c r="O15" s="64">
        <f>IF(B15&gt;0,O11-B15,IF(B16&gt;0,(O11-($O$11*B16)),O11))</f>
        <v>0</v>
      </c>
      <c r="P15" s="58"/>
      <c r="Q15" s="68" t="s">
        <v>20</v>
      </c>
      <c r="R15" s="69"/>
    </row>
    <row r="16" spans="1:18" ht="12.75">
      <c r="A16" s="61">
        <f>IF(B14="Yes"," Or what percentage of the property?","")</f>
      </c>
      <c r="B16" s="111"/>
      <c r="N16" s="63"/>
      <c r="O16" s="64"/>
      <c r="P16" s="58"/>
      <c r="Q16" s="68" t="s">
        <v>21</v>
      </c>
      <c r="R16" s="69"/>
    </row>
    <row r="17" spans="2:18" ht="12.75">
      <c r="B17" s="112"/>
      <c r="N17" s="63"/>
      <c r="O17" s="64"/>
      <c r="P17" s="58"/>
      <c r="Q17" s="68" t="s">
        <v>0</v>
      </c>
      <c r="R17" s="69"/>
    </row>
    <row r="18" spans="1:18" ht="12.75">
      <c r="A18" s="120" t="s">
        <v>168</v>
      </c>
      <c r="B18" s="119"/>
      <c r="N18" s="63"/>
      <c r="O18" s="64"/>
      <c r="P18" s="58"/>
      <c r="Q18" s="68" t="s">
        <v>22</v>
      </c>
      <c r="R18" s="69"/>
    </row>
    <row r="19" spans="1:18" ht="12.75">
      <c r="A19" s="61">
        <f>IF(B18="Yes","How much acreage?","")</f>
      </c>
      <c r="B19" s="110"/>
      <c r="C19" s="52">
        <f>IF(B18="Yes","acres","")</f>
      </c>
      <c r="D19" s="72">
        <f>IF(AND(B19&lt;&gt;0,B20&lt;&gt;0),"Please report data as acres OR as a percentage, not both","")</f>
      </c>
      <c r="N19" s="63" t="s">
        <v>6</v>
      </c>
      <c r="O19" s="64">
        <f>IF(B19&gt;0,O15-B19,IF(B20&gt;0,(O15-($O$11*B20)),O15))</f>
        <v>0</v>
      </c>
      <c r="P19" s="58"/>
      <c r="Q19" s="68" t="s">
        <v>23</v>
      </c>
      <c r="R19" s="69"/>
    </row>
    <row r="20" spans="1:18" ht="12.75">
      <c r="A20" s="61">
        <f>IF(B18="Yes"," Or what percentage of the property?","")</f>
      </c>
      <c r="B20" s="111"/>
      <c r="N20" s="63"/>
      <c r="O20" s="64"/>
      <c r="P20" s="58"/>
      <c r="Q20" s="68" t="s">
        <v>255</v>
      </c>
      <c r="R20" s="69"/>
    </row>
    <row r="21" spans="2:18" ht="12.75">
      <c r="B21" s="112"/>
      <c r="N21" s="63"/>
      <c r="O21" s="64"/>
      <c r="P21" s="58"/>
      <c r="Q21" s="68"/>
      <c r="R21" s="71"/>
    </row>
    <row r="22" spans="1:18" ht="25.5">
      <c r="A22" s="120" t="s">
        <v>169</v>
      </c>
      <c r="B22" s="119"/>
      <c r="N22" s="63"/>
      <c r="O22" s="64"/>
      <c r="P22" s="58"/>
      <c r="Q22" s="70" t="s">
        <v>12</v>
      </c>
      <c r="R22" s="69"/>
    </row>
    <row r="23" spans="1:18" ht="12.75">
      <c r="A23" s="61">
        <f>IF(B22="Yes","How much acreage?","")</f>
      </c>
      <c r="B23" s="110"/>
      <c r="C23" s="52">
        <f>IF(B22="Yes","acres","")</f>
      </c>
      <c r="D23" s="72">
        <f>IF(AND(B23&lt;&gt;0,B24&lt;&gt;0),"Please report data as acres OR as a percentage, not both","")</f>
      </c>
      <c r="N23" s="63" t="s">
        <v>7</v>
      </c>
      <c r="O23" s="64">
        <f>IF(B23&gt;0,O19-B23,IF(B24&gt;0,(O19-($O$11*B24)),O19))</f>
        <v>0</v>
      </c>
      <c r="P23" s="58"/>
      <c r="Q23" s="68" t="s">
        <v>16</v>
      </c>
      <c r="R23" s="69"/>
    </row>
    <row r="24" spans="1:18" ht="12.75">
      <c r="A24" s="61">
        <f>IF(B22="Yes"," Or what percentage of the property?","")</f>
      </c>
      <c r="B24" s="111"/>
      <c r="N24" s="63"/>
      <c r="O24" s="64"/>
      <c r="P24" s="58"/>
      <c r="Q24" s="68" t="s">
        <v>17</v>
      </c>
      <c r="R24" s="69"/>
    </row>
    <row r="25" spans="2:18" ht="12.75">
      <c r="B25" s="112"/>
      <c r="N25" s="63"/>
      <c r="O25" s="64"/>
      <c r="P25" s="58"/>
      <c r="Q25" s="68" t="s">
        <v>18</v>
      </c>
      <c r="R25" s="69"/>
    </row>
    <row r="26" spans="1:17" ht="12.75">
      <c r="A26" s="120" t="s">
        <v>170</v>
      </c>
      <c r="B26" s="119"/>
      <c r="N26" s="63"/>
      <c r="O26" s="64"/>
      <c r="P26" s="58"/>
      <c r="Q26" s="68" t="s">
        <v>19</v>
      </c>
    </row>
    <row r="27" spans="1:18" ht="12.75">
      <c r="A27" s="61">
        <f>IF(B26="Yes","How much acreage?","")</f>
      </c>
      <c r="B27" s="110"/>
      <c r="C27" s="52">
        <f>IF(B26="Yes","acres","")</f>
      </c>
      <c r="D27" s="72">
        <f>IF(AND(B27&lt;&gt;0,B28&lt;&gt;0),"Please report data as acres OR as a percentage, not both","")</f>
      </c>
      <c r="N27" s="63" t="s">
        <v>8</v>
      </c>
      <c r="O27" s="64">
        <f>IF(B27&gt;0,O23-B27,IF(B28&gt;0,(O23-($O$11*B28)),O23))</f>
        <v>0</v>
      </c>
      <c r="P27" s="58"/>
      <c r="Q27" s="68"/>
      <c r="R27" s="69"/>
    </row>
    <row r="28" spans="1:18" ht="12.75">
      <c r="A28" s="61">
        <f>IF(B26="Yes"," Or what percentage of the property?","")</f>
      </c>
      <c r="B28" s="111"/>
      <c r="N28" s="63"/>
      <c r="O28" s="64"/>
      <c r="P28" s="58"/>
      <c r="Q28" s="68" t="s">
        <v>20</v>
      </c>
      <c r="R28" s="69"/>
    </row>
    <row r="29" spans="2:18" ht="12.75">
      <c r="B29" s="112"/>
      <c r="N29" s="63"/>
      <c r="O29" s="64"/>
      <c r="P29" s="58"/>
      <c r="Q29" s="68" t="s">
        <v>292</v>
      </c>
      <c r="R29" s="69"/>
    </row>
    <row r="30" spans="1:18" ht="12.75">
      <c r="A30" s="120" t="s">
        <v>171</v>
      </c>
      <c r="B30" s="119"/>
      <c r="N30" s="63"/>
      <c r="O30" s="64"/>
      <c r="P30" s="58"/>
      <c r="Q30" s="68" t="s">
        <v>22</v>
      </c>
      <c r="R30" s="69"/>
    </row>
    <row r="31" spans="1:18" ht="12.75">
      <c r="A31" s="61">
        <f>IF(B30="Yes","How much acreage?","")</f>
      </c>
      <c r="B31" s="110"/>
      <c r="C31" s="52">
        <f>IF(B30="Yes","acres","")</f>
      </c>
      <c r="D31" s="72">
        <f>IF(AND(B31&lt;&gt;0,B32&lt;&gt;0),"Please report data as acres OR as a percentage, not both","")</f>
      </c>
      <c r="N31" s="63" t="s">
        <v>9</v>
      </c>
      <c r="O31" s="64">
        <f>IF(B31&gt;0,O27-B31,IF(B32&gt;0,(O27-($O$11*B32)),O27))</f>
        <v>0</v>
      </c>
      <c r="P31" s="58"/>
      <c r="Q31" s="68" t="s">
        <v>293</v>
      </c>
      <c r="R31" s="69"/>
    </row>
    <row r="32" spans="1:18" ht="12.75">
      <c r="A32" s="61">
        <f>IF(B30="Yes"," Or what percentage of the property?","")</f>
      </c>
      <c r="B32" s="111"/>
      <c r="N32" s="63"/>
      <c r="O32" s="64"/>
      <c r="P32" s="58"/>
      <c r="Q32" s="68" t="s">
        <v>294</v>
      </c>
      <c r="R32" s="69"/>
    </row>
    <row r="33" spans="1:18" ht="12.75">
      <c r="A33" s="61"/>
      <c r="B33" s="113"/>
      <c r="N33" s="63"/>
      <c r="O33" s="64"/>
      <c r="P33" s="58"/>
      <c r="Q33" s="68" t="s">
        <v>162</v>
      </c>
      <c r="R33" s="69"/>
    </row>
    <row r="34" spans="1:18" ht="25.5">
      <c r="A34" s="120" t="s">
        <v>172</v>
      </c>
      <c r="B34" s="119"/>
      <c r="N34" s="63"/>
      <c r="O34" s="64"/>
      <c r="P34" s="58"/>
      <c r="Q34" s="68" t="s">
        <v>23</v>
      </c>
      <c r="R34" s="69"/>
    </row>
    <row r="35" spans="1:18" ht="12.75">
      <c r="A35" s="61">
        <f>IF(B34="Yes","How much acreage?","")</f>
      </c>
      <c r="B35" s="110"/>
      <c r="C35" s="52">
        <f>IF(B34="Yes","acres","")</f>
      </c>
      <c r="D35" s="72">
        <f>IF(AND(B35&lt;&gt;0,B36&lt;&gt;0),"Please report data as acres OR as a percentage, not both","")</f>
      </c>
      <c r="N35" s="63" t="s">
        <v>10</v>
      </c>
      <c r="O35" s="64">
        <f>IF(B35&gt;0,O31-B35,IF(B36&gt;0,(O31-($O$11*B36)),O31))</f>
        <v>0</v>
      </c>
      <c r="P35" s="58"/>
      <c r="Q35" s="68" t="s">
        <v>220</v>
      </c>
      <c r="R35" s="69"/>
    </row>
    <row r="36" spans="1:18" ht="12.75">
      <c r="A36" s="61">
        <f>IF(B34="Yes"," Or what percentage of the property?","")</f>
      </c>
      <c r="B36" s="111"/>
      <c r="N36" s="63"/>
      <c r="O36" s="64"/>
      <c r="P36" s="58"/>
      <c r="Q36" s="68" t="s">
        <v>156</v>
      </c>
      <c r="R36" s="69"/>
    </row>
    <row r="37" spans="2:18" ht="12.75">
      <c r="B37" s="112"/>
      <c r="N37" s="63"/>
      <c r="O37" s="64"/>
      <c r="P37" s="58"/>
      <c r="Q37" s="75" t="s">
        <v>165</v>
      </c>
      <c r="R37" s="69"/>
    </row>
    <row r="38" spans="1:18" ht="25.5">
      <c r="A38" s="120" t="s">
        <v>213</v>
      </c>
      <c r="B38" s="119"/>
      <c r="N38" s="63"/>
      <c r="O38" s="64"/>
      <c r="P38" s="58"/>
      <c r="Q38" s="58"/>
      <c r="R38" s="69"/>
    </row>
    <row r="39" spans="1:18" ht="12.75">
      <c r="A39" s="61">
        <f>IF(B38="Yes","How much acreage?","")</f>
      </c>
      <c r="B39" s="110"/>
      <c r="C39" s="52">
        <f>IF(B38="Yes","acres","")</f>
      </c>
      <c r="D39" s="72">
        <f>IF(AND(B39&lt;&gt;0,B40&lt;&gt;0),"Please report data as acres OR as a percentage, not both","")</f>
      </c>
      <c r="N39" s="63" t="s">
        <v>11</v>
      </c>
      <c r="O39" s="64">
        <f>IF(B39&gt;0,O35-B39,IF(B40&gt;0,(O35-($O$11*B40)),O35))</f>
        <v>0</v>
      </c>
      <c r="P39" s="58"/>
      <c r="Q39" s="58"/>
      <c r="R39" s="69"/>
    </row>
    <row r="40" spans="1:18" ht="12.75">
      <c r="A40" s="61">
        <f>IF(B38="Yes"," Or what percentage of the property?","")</f>
      </c>
      <c r="B40" s="111"/>
      <c r="N40" s="63"/>
      <c r="O40" s="64"/>
      <c r="P40" s="58"/>
      <c r="Q40" s="58"/>
      <c r="R40" s="69"/>
    </row>
    <row r="41" spans="1:18" ht="12.75">
      <c r="A41" s="61"/>
      <c r="B41" s="113"/>
      <c r="N41" s="63"/>
      <c r="O41" s="64"/>
      <c r="P41" s="58"/>
      <c r="Q41" s="58"/>
      <c r="R41" s="69"/>
    </row>
    <row r="42" spans="1:18" ht="44.25" customHeight="1">
      <c r="A42" s="120" t="s">
        <v>179</v>
      </c>
      <c r="B42" s="119"/>
      <c r="N42" s="63"/>
      <c r="O42" s="64"/>
      <c r="P42" s="58"/>
      <c r="Q42" s="58"/>
      <c r="R42" s="69"/>
    </row>
    <row r="43" spans="1:18" ht="12.75">
      <c r="A43" s="61">
        <f>IF(B42="Yes","How much acreage?","")</f>
      </c>
      <c r="B43" s="110"/>
      <c r="C43" s="52">
        <f>IF(B42="Yes","acres","")</f>
      </c>
      <c r="D43" s="72">
        <f>IF(AND(B43&lt;&gt;0,B44&lt;&gt;0),"Please report data as acres OR as a percentage, not both","")</f>
      </c>
      <c r="N43" s="76" t="s">
        <v>164</v>
      </c>
      <c r="O43" s="77">
        <f>IF(B43&gt;0,O39-B43,IF(B44&gt;0,(O39-($O$11*B44)),O39))</f>
        <v>0</v>
      </c>
      <c r="P43" s="58"/>
      <c r="Q43" s="58"/>
      <c r="R43" s="69"/>
    </row>
    <row r="44" spans="1:2" ht="12.75">
      <c r="A44" s="61">
        <f>IF(B42="Yes"," Or what percentage of the property?","")</f>
      </c>
      <c r="B44" s="111"/>
    </row>
    <row r="45" ht="12.75">
      <c r="B45" s="112"/>
    </row>
    <row r="46" spans="1:3" ht="12.75">
      <c r="A46" s="117" t="s">
        <v>353</v>
      </c>
      <c r="B46" s="109">
        <f>IF(O43&gt;=0,O43,"")</f>
        <v>0</v>
      </c>
      <c r="C46" s="118" t="str">
        <f>IF(B46="","","acres")</f>
        <v>acres</v>
      </c>
    </row>
    <row r="47" spans="1:3" ht="12.75">
      <c r="A47" s="78"/>
      <c r="B47" s="114"/>
      <c r="C47" s="79"/>
    </row>
    <row r="48" spans="1:2" ht="39.75" customHeight="1">
      <c r="A48" s="120" t="s">
        <v>403</v>
      </c>
      <c r="B48" s="119"/>
    </row>
    <row r="49" spans="1:12" ht="12.75">
      <c r="A49" s="61">
        <f aca="true" t="shared" si="0" ref="A49:A58">IF($B$48="Yes",Q28,"")</f>
      </c>
      <c r="B49" s="119"/>
      <c r="C49" s="249">
        <f>IF(AND(B49="Yes",D49=0),"Provide rationale:",IF(AND(B49="yes",D49&lt;&gt;""),"Rationale:",""))</f>
      </c>
      <c r="D49" s="295"/>
      <c r="E49" s="120"/>
      <c r="F49" s="120"/>
      <c r="G49" s="120"/>
      <c r="H49" s="120"/>
      <c r="I49" s="120"/>
      <c r="J49" s="120"/>
      <c r="K49" s="120"/>
      <c r="L49" s="120"/>
    </row>
    <row r="50" spans="1:12" ht="12.75">
      <c r="A50" s="61">
        <f t="shared" si="0"/>
      </c>
      <c r="B50" s="119"/>
      <c r="C50" s="249">
        <f aca="true" t="shared" si="1" ref="C50:C58">IF(AND(B50="Yes",D50=0),"Provide rationale:",IF(AND(B50="yes",D50&lt;&gt;""),"Rationale:",""))</f>
      </c>
      <c r="D50" s="295"/>
      <c r="E50" s="120"/>
      <c r="F50" s="120"/>
      <c r="G50" s="120"/>
      <c r="H50" s="120"/>
      <c r="I50" s="120"/>
      <c r="J50" s="120"/>
      <c r="K50" s="120"/>
      <c r="L50" s="120"/>
    </row>
    <row r="51" spans="1:12" ht="12.75">
      <c r="A51" s="61">
        <f t="shared" si="0"/>
      </c>
      <c r="B51" s="119"/>
      <c r="C51" s="249">
        <f t="shared" si="1"/>
      </c>
      <c r="D51" s="295"/>
      <c r="E51" s="120"/>
      <c r="F51" s="120"/>
      <c r="G51" s="120"/>
      <c r="H51" s="120"/>
      <c r="I51" s="120"/>
      <c r="J51" s="120"/>
      <c r="K51" s="120"/>
      <c r="L51" s="120"/>
    </row>
    <row r="52" spans="1:12" ht="12.75">
      <c r="A52" s="61">
        <f t="shared" si="0"/>
      </c>
      <c r="B52" s="119"/>
      <c r="C52" s="249">
        <f t="shared" si="1"/>
      </c>
      <c r="D52" s="295"/>
      <c r="E52" s="120"/>
      <c r="F52" s="120"/>
      <c r="G52" s="120"/>
      <c r="H52" s="120"/>
      <c r="I52" s="120"/>
      <c r="J52" s="120"/>
      <c r="K52" s="120"/>
      <c r="L52" s="120"/>
    </row>
    <row r="53" spans="1:12" ht="12.75">
      <c r="A53" s="61">
        <f t="shared" si="0"/>
      </c>
      <c r="B53" s="119"/>
      <c r="C53" s="249">
        <f t="shared" si="1"/>
      </c>
      <c r="D53" s="295"/>
      <c r="E53" s="120"/>
      <c r="F53" s="120"/>
      <c r="G53" s="120"/>
      <c r="H53" s="120"/>
      <c r="I53" s="120"/>
      <c r="J53" s="120"/>
      <c r="K53" s="120"/>
      <c r="L53" s="120"/>
    </row>
    <row r="54" spans="1:12" ht="12.75">
      <c r="A54" s="61">
        <f t="shared" si="0"/>
      </c>
      <c r="B54" s="119"/>
      <c r="C54" s="249">
        <f t="shared" si="1"/>
      </c>
      <c r="D54" s="295"/>
      <c r="E54" s="120"/>
      <c r="F54" s="120"/>
      <c r="G54" s="120"/>
      <c r="H54" s="120"/>
      <c r="I54" s="120"/>
      <c r="J54" s="120"/>
      <c r="K54" s="120"/>
      <c r="L54" s="120"/>
    </row>
    <row r="55" spans="1:12" ht="12.75">
      <c r="A55" s="61">
        <f t="shared" si="0"/>
      </c>
      <c r="B55" s="119"/>
      <c r="C55" s="249">
        <f t="shared" si="1"/>
      </c>
      <c r="D55" s="295"/>
      <c r="E55" s="120"/>
      <c r="F55" s="120"/>
      <c r="G55" s="120"/>
      <c r="H55" s="120"/>
      <c r="I55" s="120"/>
      <c r="J55" s="120"/>
      <c r="K55" s="120"/>
      <c r="L55" s="120"/>
    </row>
    <row r="56" spans="1:12" ht="12.75">
      <c r="A56" s="61">
        <f t="shared" si="0"/>
      </c>
      <c r="B56" s="119"/>
      <c r="C56" s="249">
        <f t="shared" si="1"/>
      </c>
      <c r="D56" s="295"/>
      <c r="E56" s="120"/>
      <c r="F56" s="120"/>
      <c r="G56" s="120"/>
      <c r="H56" s="120"/>
      <c r="I56" s="120"/>
      <c r="J56" s="120"/>
      <c r="K56" s="120"/>
      <c r="L56" s="120"/>
    </row>
    <row r="57" spans="1:12" ht="12.75">
      <c r="A57" s="61">
        <f t="shared" si="0"/>
      </c>
      <c r="B57" s="119"/>
      <c r="C57" s="249">
        <f t="shared" si="1"/>
      </c>
      <c r="D57" s="295"/>
      <c r="E57" s="120"/>
      <c r="F57" s="120"/>
      <c r="G57" s="120"/>
      <c r="H57" s="120"/>
      <c r="I57" s="120"/>
      <c r="J57" s="120"/>
      <c r="K57" s="120"/>
      <c r="L57" s="120"/>
    </row>
    <row r="58" spans="1:12" ht="12.75">
      <c r="A58" s="61">
        <f t="shared" si="0"/>
      </c>
      <c r="B58" s="119"/>
      <c r="C58" s="249">
        <f t="shared" si="1"/>
      </c>
      <c r="D58" s="295"/>
      <c r="E58" s="120"/>
      <c r="F58" s="120"/>
      <c r="G58" s="120"/>
      <c r="H58" s="120"/>
      <c r="I58" s="120"/>
      <c r="J58" s="120"/>
      <c r="K58" s="120"/>
      <c r="L58" s="120"/>
    </row>
    <row r="59" spans="1:2" ht="12.75">
      <c r="A59" s="61"/>
      <c r="B59" s="74"/>
    </row>
    <row r="60" spans="1:13" ht="12.75">
      <c r="A60" s="54" t="s">
        <v>358</v>
      </c>
      <c r="B60" s="55"/>
      <c r="C60" s="55"/>
      <c r="D60" s="55"/>
      <c r="E60" s="55"/>
      <c r="F60" s="55"/>
      <c r="G60" s="55"/>
      <c r="H60" s="55"/>
      <c r="I60" s="55"/>
      <c r="J60" s="55"/>
      <c r="K60" s="55"/>
      <c r="L60" s="56"/>
      <c r="M60" s="57"/>
    </row>
    <row r="61" spans="1:2" ht="18" customHeight="1">
      <c r="A61" s="52" t="s">
        <v>359</v>
      </c>
      <c r="B61" s="119"/>
    </row>
    <row r="62" spans="1:3" ht="18" customHeight="1">
      <c r="A62" s="61">
        <f>IF(B61="Yes","How many buildings or structures are onsite? (Can enter up to ten)","")</f>
      </c>
      <c r="B62" s="119"/>
      <c r="C62" s="72">
        <f>IF(AND(B61="Yes",B62&gt;10),"Enter the ten most significant buildings/structures onsite","")</f>
      </c>
    </row>
    <row r="63" ht="18" customHeight="1">
      <c r="B63" s="80"/>
    </row>
    <row r="64" spans="1:13" ht="102">
      <c r="A64" s="60"/>
      <c r="B64" s="81" t="s">
        <v>366</v>
      </c>
      <c r="C64" s="81" t="s">
        <v>436</v>
      </c>
      <c r="D64" s="81" t="s">
        <v>365</v>
      </c>
      <c r="E64" s="81" t="s">
        <v>364</v>
      </c>
      <c r="F64" s="300" t="s">
        <v>363</v>
      </c>
      <c r="G64" s="81" t="s">
        <v>362</v>
      </c>
      <c r="H64" s="81" t="s">
        <v>360</v>
      </c>
      <c r="I64" s="81" t="s">
        <v>437</v>
      </c>
      <c r="J64" s="81" t="s">
        <v>13</v>
      </c>
      <c r="K64" s="81" t="s">
        <v>14</v>
      </c>
      <c r="L64" s="81" t="s">
        <v>361</v>
      </c>
      <c r="M64" s="82"/>
    </row>
    <row r="65" spans="1:13" ht="12.75">
      <c r="A65" s="61">
        <f>IF($B$62&gt;=1,"Building/structure #1","")</f>
      </c>
      <c r="B65" s="108"/>
      <c r="C65" s="106"/>
      <c r="D65" s="106"/>
      <c r="E65" s="108"/>
      <c r="F65" s="107"/>
      <c r="G65" s="84">
        <f>IF(F65=0,"",IF(OR(F65="Poor",F65="Fair"),"Yes","No"))</f>
      </c>
      <c r="H65" s="107"/>
      <c r="I65" s="105"/>
      <c r="J65" s="106"/>
      <c r="K65" s="106"/>
      <c r="L65" s="107"/>
      <c r="M65" s="52"/>
    </row>
    <row r="66" spans="1:13" ht="12.75">
      <c r="A66" s="61">
        <f>IF($B$62&gt;1,"Building/structure #2","")</f>
      </c>
      <c r="B66" s="108"/>
      <c r="C66" s="106"/>
      <c r="D66" s="106"/>
      <c r="E66" s="108"/>
      <c r="F66" s="107"/>
      <c r="G66" s="84">
        <f aca="true" t="shared" si="2" ref="G66:G75">IF(F66=0,"",IF(OR(F66="Poor",F66="Fair"),"Yes","No"))</f>
      </c>
      <c r="H66" s="107"/>
      <c r="I66" s="105"/>
      <c r="J66" s="106"/>
      <c r="K66" s="106"/>
      <c r="L66" s="107"/>
      <c r="M66" s="52"/>
    </row>
    <row r="67" spans="1:13" ht="12.75">
      <c r="A67" s="61">
        <f>IF($B$62&gt;2,"Building/structure #3","")</f>
      </c>
      <c r="B67" s="108"/>
      <c r="C67" s="106"/>
      <c r="D67" s="106"/>
      <c r="E67" s="108"/>
      <c r="F67" s="107"/>
      <c r="G67" s="84">
        <f t="shared" si="2"/>
      </c>
      <c r="H67" s="107"/>
      <c r="I67" s="105"/>
      <c r="J67" s="106"/>
      <c r="K67" s="106"/>
      <c r="L67" s="107"/>
      <c r="M67" s="52"/>
    </row>
    <row r="68" spans="1:13" ht="12.75">
      <c r="A68" s="61">
        <f>IF($B$62&gt;3,"Building/structure #4","")</f>
      </c>
      <c r="B68" s="108"/>
      <c r="C68" s="106"/>
      <c r="D68" s="106"/>
      <c r="E68" s="108"/>
      <c r="F68" s="107"/>
      <c r="G68" s="84">
        <f t="shared" si="2"/>
      </c>
      <c r="H68" s="107"/>
      <c r="I68" s="105"/>
      <c r="J68" s="106"/>
      <c r="K68" s="106"/>
      <c r="L68" s="107"/>
      <c r="M68" s="52"/>
    </row>
    <row r="69" spans="1:13" ht="12.75">
      <c r="A69" s="61">
        <f>IF($B$62&gt;4,"Building/structure #5","")</f>
      </c>
      <c r="B69" s="108"/>
      <c r="C69" s="106"/>
      <c r="D69" s="106"/>
      <c r="E69" s="108"/>
      <c r="F69" s="107"/>
      <c r="G69" s="84">
        <f t="shared" si="2"/>
      </c>
      <c r="H69" s="107"/>
      <c r="I69" s="105"/>
      <c r="J69" s="106"/>
      <c r="K69" s="106"/>
      <c r="L69" s="107"/>
      <c r="M69" s="52"/>
    </row>
    <row r="70" spans="1:13" ht="12.75">
      <c r="A70" s="61">
        <f>IF($B$62&gt;5,"Building/structure #6","")</f>
      </c>
      <c r="B70" s="108"/>
      <c r="C70" s="106"/>
      <c r="D70" s="106"/>
      <c r="E70" s="108"/>
      <c r="F70" s="107"/>
      <c r="G70" s="84">
        <f t="shared" si="2"/>
      </c>
      <c r="H70" s="107"/>
      <c r="I70" s="105"/>
      <c r="J70" s="106"/>
      <c r="K70" s="106"/>
      <c r="L70" s="107"/>
      <c r="M70" s="52"/>
    </row>
    <row r="71" spans="1:13" ht="12.75">
      <c r="A71" s="61">
        <f>IF($B$62&gt;6,"Building/structure #7","")</f>
      </c>
      <c r="B71" s="108"/>
      <c r="C71" s="106"/>
      <c r="D71" s="106"/>
      <c r="E71" s="108"/>
      <c r="F71" s="107"/>
      <c r="G71" s="84">
        <f t="shared" si="2"/>
      </c>
      <c r="H71" s="107"/>
      <c r="I71" s="105"/>
      <c r="J71" s="106"/>
      <c r="K71" s="106"/>
      <c r="L71" s="107"/>
      <c r="M71" s="52"/>
    </row>
    <row r="72" spans="1:13" ht="12.75">
      <c r="A72" s="61">
        <f>IF($B$62&gt;7,"Building/structure #8","")</f>
      </c>
      <c r="B72" s="108"/>
      <c r="C72" s="106"/>
      <c r="D72" s="106"/>
      <c r="E72" s="108"/>
      <c r="F72" s="107"/>
      <c r="G72" s="84">
        <f t="shared" si="2"/>
      </c>
      <c r="H72" s="107"/>
      <c r="I72" s="105"/>
      <c r="J72" s="106"/>
      <c r="K72" s="106"/>
      <c r="L72" s="107"/>
      <c r="M72" s="52"/>
    </row>
    <row r="73" spans="1:13" ht="12.75">
      <c r="A73" s="61">
        <f>IF($B$62&gt;8,"Building/structure #9","")</f>
      </c>
      <c r="B73" s="108"/>
      <c r="C73" s="106"/>
      <c r="D73" s="106"/>
      <c r="E73" s="108"/>
      <c r="F73" s="107"/>
      <c r="G73" s="84">
        <f t="shared" si="2"/>
      </c>
      <c r="H73" s="107"/>
      <c r="I73" s="105"/>
      <c r="J73" s="106"/>
      <c r="K73" s="106"/>
      <c r="L73" s="107"/>
      <c r="M73" s="52"/>
    </row>
    <row r="74" spans="1:13" ht="12.75">
      <c r="A74" s="61">
        <f>IF($B$62&gt;9,"Building/structure #10","")</f>
      </c>
      <c r="B74" s="108"/>
      <c r="C74" s="106"/>
      <c r="D74" s="106"/>
      <c r="E74" s="108"/>
      <c r="F74" s="107"/>
      <c r="G74" s="84">
        <f t="shared" si="2"/>
      </c>
      <c r="H74" s="107"/>
      <c r="I74" s="105"/>
      <c r="J74" s="106"/>
      <c r="K74" s="106"/>
      <c r="L74" s="107"/>
      <c r="M74" s="52"/>
    </row>
    <row r="75" spans="1:17" ht="12.75">
      <c r="A75" s="85"/>
      <c r="B75" s="86"/>
      <c r="C75" s="86"/>
      <c r="D75" s="86"/>
      <c r="E75" s="85"/>
      <c r="F75" s="87"/>
      <c r="G75" s="87">
        <f t="shared" si="2"/>
      </c>
      <c r="H75" s="87"/>
      <c r="I75" s="88"/>
      <c r="J75" s="86"/>
      <c r="K75" s="86"/>
      <c r="L75" s="87"/>
      <c r="M75" s="52"/>
      <c r="N75" s="53"/>
      <c r="O75" s="53"/>
      <c r="P75" s="53"/>
      <c r="Q75" s="53"/>
    </row>
    <row r="76" spans="1:17" ht="12.75">
      <c r="A76" s="89" t="s">
        <v>367</v>
      </c>
      <c r="B76" s="62"/>
      <c r="C76" s="301">
        <f>SUM(C65:C74)</f>
        <v>0</v>
      </c>
      <c r="D76" s="90"/>
      <c r="E76" s="53"/>
      <c r="F76" s="84"/>
      <c r="G76" s="67"/>
      <c r="H76" s="84"/>
      <c r="I76" s="91">
        <f>SUM(I65:I74)</f>
        <v>0</v>
      </c>
      <c r="J76" s="90">
        <f>SUM(J65:J74)</f>
        <v>0</v>
      </c>
      <c r="K76" s="90">
        <f>SUM(K65:K74)</f>
        <v>0</v>
      </c>
      <c r="L76" s="84"/>
      <c r="M76" s="52"/>
      <c r="N76" s="53"/>
      <c r="O76" s="53"/>
      <c r="P76" s="53"/>
      <c r="Q76" s="53"/>
    </row>
    <row r="77" spans="1:17" ht="12.75">
      <c r="A77" s="53"/>
      <c r="B77" s="62"/>
      <c r="C77" s="90"/>
      <c r="D77" s="53"/>
      <c r="E77" s="53"/>
      <c r="F77" s="53"/>
      <c r="G77" s="53"/>
      <c r="H77" s="53"/>
      <c r="I77" s="53"/>
      <c r="J77" s="53"/>
      <c r="K77" s="53"/>
      <c r="L77" s="62"/>
      <c r="M77" s="52"/>
      <c r="N77" s="53"/>
      <c r="O77" s="53"/>
      <c r="P77" s="53"/>
      <c r="Q77" s="53"/>
    </row>
    <row r="78" spans="1:17" ht="12.75">
      <c r="A78" s="53"/>
      <c r="B78" s="62"/>
      <c r="C78" s="53"/>
      <c r="D78" s="53"/>
      <c r="E78" s="53"/>
      <c r="F78" s="53"/>
      <c r="G78" s="53"/>
      <c r="H78" s="53"/>
      <c r="I78" s="53"/>
      <c r="J78" s="53"/>
      <c r="K78" s="53"/>
      <c r="L78" s="62"/>
      <c r="M78" s="52"/>
      <c r="N78" s="53"/>
      <c r="O78" s="53"/>
      <c r="P78" s="53"/>
      <c r="Q78" s="53"/>
    </row>
    <row r="79" spans="1:17" ht="12.75">
      <c r="A79" s="53"/>
      <c r="B79" s="62"/>
      <c r="C79" s="53"/>
      <c r="D79" s="53"/>
      <c r="E79" s="53"/>
      <c r="F79" s="53"/>
      <c r="G79" s="53"/>
      <c r="H79" s="53"/>
      <c r="I79" s="53"/>
      <c r="J79" s="53"/>
      <c r="K79" s="53"/>
      <c r="L79" s="62"/>
      <c r="M79" s="52"/>
      <c r="N79" s="53"/>
      <c r="O79" s="53"/>
      <c r="P79" s="53"/>
      <c r="Q79" s="53"/>
    </row>
    <row r="80" spans="1:17" ht="12.75">
      <c r="A80" s="53"/>
      <c r="B80" s="62"/>
      <c r="C80" s="53"/>
      <c r="D80" s="53"/>
      <c r="E80" s="53"/>
      <c r="F80" s="53"/>
      <c r="G80" s="53"/>
      <c r="H80" s="53"/>
      <c r="I80" s="53"/>
      <c r="J80" s="53"/>
      <c r="K80" s="53"/>
      <c r="L80" s="62"/>
      <c r="N80" s="53"/>
      <c r="O80" s="53"/>
      <c r="P80" s="53"/>
      <c r="Q80" s="53"/>
    </row>
    <row r="81" spans="1:17" ht="12.75">
      <c r="A81" s="53"/>
      <c r="B81" s="62"/>
      <c r="C81" s="53"/>
      <c r="D81" s="53"/>
      <c r="E81" s="53"/>
      <c r="F81" s="53"/>
      <c r="G81" s="53"/>
      <c r="H81" s="53"/>
      <c r="I81" s="53"/>
      <c r="J81" s="53"/>
      <c r="K81" s="53"/>
      <c r="L81" s="62"/>
      <c r="N81" s="53"/>
      <c r="O81" s="53"/>
      <c r="P81" s="53"/>
      <c r="Q81" s="53"/>
    </row>
    <row r="82" spans="1:17" ht="12.75">
      <c r="A82" s="53"/>
      <c r="B82" s="62"/>
      <c r="C82" s="53"/>
      <c r="D82" s="53"/>
      <c r="E82" s="53"/>
      <c r="F82" s="53"/>
      <c r="G82" s="53"/>
      <c r="H82" s="53"/>
      <c r="I82" s="53"/>
      <c r="J82" s="53"/>
      <c r="K82" s="53"/>
      <c r="L82" s="62"/>
      <c r="N82" s="53"/>
      <c r="O82" s="53"/>
      <c r="P82" s="53"/>
      <c r="Q82" s="53"/>
    </row>
    <row r="83" spans="1:17" ht="12.75">
      <c r="A83" s="53"/>
      <c r="B83" s="62"/>
      <c r="C83" s="53"/>
      <c r="D83" s="53"/>
      <c r="E83" s="53"/>
      <c r="F83" s="53"/>
      <c r="G83" s="53"/>
      <c r="H83" s="53"/>
      <c r="I83" s="53"/>
      <c r="J83" s="53"/>
      <c r="K83" s="53"/>
      <c r="L83" s="62"/>
      <c r="N83" s="53"/>
      <c r="O83" s="53"/>
      <c r="P83" s="53"/>
      <c r="Q83" s="53"/>
    </row>
    <row r="84" spans="1:17" ht="12.75">
      <c r="A84" s="53"/>
      <c r="B84" s="62"/>
      <c r="C84" s="53"/>
      <c r="D84" s="53"/>
      <c r="E84" s="53"/>
      <c r="F84" s="53"/>
      <c r="G84" s="53"/>
      <c r="H84" s="53"/>
      <c r="I84" s="53"/>
      <c r="J84" s="53"/>
      <c r="K84" s="53"/>
      <c r="L84" s="62"/>
      <c r="N84" s="53"/>
      <c r="O84" s="53"/>
      <c r="P84" s="53"/>
      <c r="Q84" s="53"/>
    </row>
    <row r="85" spans="1:17" ht="12.75">
      <c r="A85" s="53"/>
      <c r="B85" s="62"/>
      <c r="C85" s="53"/>
      <c r="D85" s="53"/>
      <c r="E85" s="53"/>
      <c r="F85" s="53"/>
      <c r="G85" s="53"/>
      <c r="H85" s="53"/>
      <c r="I85" s="53"/>
      <c r="J85" s="53"/>
      <c r="K85" s="53"/>
      <c r="L85" s="62"/>
      <c r="N85" s="53"/>
      <c r="O85" s="53"/>
      <c r="P85" s="53"/>
      <c r="Q85" s="53"/>
    </row>
    <row r="86" spans="1:17" ht="12.75">
      <c r="A86" s="53"/>
      <c r="B86" s="62"/>
      <c r="C86" s="53"/>
      <c r="D86" s="53"/>
      <c r="E86" s="53"/>
      <c r="F86" s="53"/>
      <c r="G86" s="53"/>
      <c r="H86" s="53"/>
      <c r="I86" s="53"/>
      <c r="J86" s="53"/>
      <c r="K86" s="53"/>
      <c r="L86" s="62"/>
      <c r="N86" s="53"/>
      <c r="O86" s="53"/>
      <c r="P86" s="53"/>
      <c r="Q86" s="53"/>
    </row>
  </sheetData>
  <sheetProtection password="C687" sheet="1" objects="1" scenarios="1"/>
  <conditionalFormatting sqref="B33">
    <cfRule type="expression" priority="3" dxfId="53" stopIfTrue="1">
      <formula>B31="Yes"</formula>
    </cfRule>
  </conditionalFormatting>
  <conditionalFormatting sqref="B41">
    <cfRule type="expression" priority="4" dxfId="53" stopIfTrue="1">
      <formula>AND(B39="Yes",B41=0)</formula>
    </cfRule>
  </conditionalFormatting>
  <conditionalFormatting sqref="B63">
    <cfRule type="expression" priority="11" dxfId="89" stopIfTrue="1">
      <formula>B62="yes"</formula>
    </cfRule>
  </conditionalFormatting>
  <conditionalFormatting sqref="B15 B19 B23 B27 B31 B35 B39 B43">
    <cfRule type="expression" priority="41" dxfId="86" stopIfTrue="1">
      <formula>D15="Please report data as acres OR as a percentage, not both"</formula>
    </cfRule>
    <cfRule type="expression" priority="42" dxfId="92" stopIfTrue="1">
      <formula>AND(B14="Yes",B16=0,B15=0)</formula>
    </cfRule>
  </conditionalFormatting>
  <conditionalFormatting sqref="B16 B20 B24 B28 B32 B36 B40 B44">
    <cfRule type="expression" priority="43" dxfId="86" stopIfTrue="1">
      <formula>D15="Please report data as acres OR as a percentage, not both"</formula>
    </cfRule>
    <cfRule type="expression" priority="44" dxfId="93" stopIfTrue="1">
      <formula>AND(B14="Yes",B16=0,B15=0)</formula>
    </cfRule>
  </conditionalFormatting>
  <conditionalFormatting sqref="B62">
    <cfRule type="expression" priority="47" dxfId="93" stopIfTrue="1">
      <formula>AND(B61="yes",B62=0)</formula>
    </cfRule>
  </conditionalFormatting>
  <conditionalFormatting sqref="I65:I74">
    <cfRule type="expression" priority="58" dxfId="94" stopIfTrue="1">
      <formula>AND($B$62&gt;=1,I65=0,H65="yes")</formula>
    </cfRule>
    <cfRule type="expression" priority="59" dxfId="82" stopIfTrue="1">
      <formula>AND($B$62&gt;=1,I65=0,H65="No")</formula>
    </cfRule>
    <cfRule type="expression" priority="60" dxfId="94" stopIfTrue="1">
      <formula>AND($B$62&gt;=1,H65="Yes",I65=0)</formula>
    </cfRule>
  </conditionalFormatting>
  <conditionalFormatting sqref="C49">
    <cfRule type="expression" priority="72" dxfId="22" stopIfTrue="1">
      <formula>D49&lt;&gt;""</formula>
    </cfRule>
  </conditionalFormatting>
  <conditionalFormatting sqref="D49:L58">
    <cfRule type="expression" priority="73" dxfId="21" stopIfTrue="1">
      <formula>AND($B49="Yes",$D49="")</formula>
    </cfRule>
  </conditionalFormatting>
  <conditionalFormatting sqref="B49:B58">
    <cfRule type="expression" priority="74" dxfId="94" stopIfTrue="1">
      <formula>AND($B$48="Yes",B49=0)</formula>
    </cfRule>
    <cfRule type="expression" priority="75" dxfId="0" stopIfTrue="1">
      <formula>AND($B49="Yes",$D49=0)</formula>
    </cfRule>
    <cfRule type="cellIs" priority="76" dxfId="18" operator="equal" stopIfTrue="1">
      <formula>"yes"</formula>
    </cfRule>
  </conditionalFormatting>
  <conditionalFormatting sqref="B59">
    <cfRule type="expression" priority="2" dxfId="53" stopIfTrue="1">
      <formula>#REF!="Yes"</formula>
    </cfRule>
  </conditionalFormatting>
  <conditionalFormatting sqref="M64">
    <cfRule type="expression" priority="26" dxfId="73" stopIfTrue="1">
      <formula>OR($B$61=0,$B$61="no")</formula>
    </cfRule>
  </conditionalFormatting>
  <conditionalFormatting sqref="B64:L64">
    <cfRule type="expression" priority="27" dxfId="73" stopIfTrue="1">
      <formula>OR($B$61=0,$B$61="no")</formula>
    </cfRule>
    <cfRule type="expression" priority="28" dxfId="70" stopIfTrue="1">
      <formula>$B$62=0</formula>
    </cfRule>
  </conditionalFormatting>
  <conditionalFormatting sqref="A76 C76 I76:K76">
    <cfRule type="expression" priority="29" dxfId="70" stopIfTrue="1">
      <formula>OR($B$61=0,$B$61="no")</formula>
    </cfRule>
    <cfRule type="expression" priority="30" dxfId="70" stopIfTrue="1">
      <formula>$B$62=0</formula>
    </cfRule>
  </conditionalFormatting>
  <conditionalFormatting sqref="B14 B22 B26 B30 B34 B38 B42 B48 B18 B61 B8:B9 B4:B6">
    <cfRule type="cellIs" priority="45" dxfId="94" operator="equal" stopIfTrue="1">
      <formula>0</formula>
    </cfRule>
  </conditionalFormatting>
  <conditionalFormatting sqref="H65 B65:F65 J65:L65">
    <cfRule type="expression" priority="48" dxfId="94" stopIfTrue="1">
      <formula>AND($B$62&gt;=1,B65=0)</formula>
    </cfRule>
  </conditionalFormatting>
  <conditionalFormatting sqref="B66:F66 H66 J66:L66">
    <cfRule type="expression" priority="49" dxfId="94" stopIfTrue="1">
      <formula>AND($B$62&gt;=2,B66=0)</formula>
    </cfRule>
  </conditionalFormatting>
  <conditionalFormatting sqref="B67:F67 H67 J67:L67">
    <cfRule type="expression" priority="50" dxfId="94" stopIfTrue="1">
      <formula>AND($B$62&gt;=3,B67=0)</formula>
    </cfRule>
  </conditionalFormatting>
  <conditionalFormatting sqref="B68:F68 H68 J68:L68">
    <cfRule type="expression" priority="51" dxfId="94" stopIfTrue="1">
      <formula>AND($B$62&gt;=4,B68=0)</formula>
    </cfRule>
  </conditionalFormatting>
  <conditionalFormatting sqref="B69:F69 H69 J69:L69">
    <cfRule type="expression" priority="52" dxfId="94" stopIfTrue="1">
      <formula>AND($B$62&gt;=5,B69=0)</formula>
    </cfRule>
  </conditionalFormatting>
  <conditionalFormatting sqref="B70:F70 H70 J70:L70">
    <cfRule type="expression" priority="53" dxfId="94" stopIfTrue="1">
      <formula>AND($B$62&gt;=6,B70=0)</formula>
    </cfRule>
  </conditionalFormatting>
  <conditionalFormatting sqref="B71:F71 H71 J71:L71">
    <cfRule type="expression" priority="54" dxfId="94" stopIfTrue="1">
      <formula>AND($B$62&gt;=7,B71=0)</formula>
    </cfRule>
  </conditionalFormatting>
  <conditionalFormatting sqref="B72:F72 H72 J72:L72">
    <cfRule type="expression" priority="55" dxfId="94" stopIfTrue="1">
      <formula>AND($B$62&gt;=8,B72=0)</formula>
    </cfRule>
  </conditionalFormatting>
  <conditionalFormatting sqref="B73:F73 H73 J73:L73">
    <cfRule type="expression" priority="56" dxfId="94" stopIfTrue="1">
      <formula>AND($B$62&gt;=9,B73=0)</formula>
    </cfRule>
  </conditionalFormatting>
  <conditionalFormatting sqref="B74:F74 H74 J74:L74">
    <cfRule type="expression" priority="57" dxfId="94" stopIfTrue="1">
      <formula>AND($B$62&gt;=10,B74=0)</formula>
    </cfRule>
  </conditionalFormatting>
  <conditionalFormatting sqref="B11">
    <cfRule type="cellIs" priority="94" dxfId="93" operator="equal" stopIfTrue="1">
      <formula>0</formula>
    </cfRule>
  </conditionalFormatting>
  <dataValidations count="8">
    <dataValidation type="decimal" allowBlank="1" showInputMessage="1" showErrorMessage="1" error="Please enter a number greater than zero and less than the property's total acreage." sqref="B19 B15 B23 B27 B31 B35 B39 B43">
      <formula1>0.000000001</formula1>
      <formula2>B$11</formula2>
    </dataValidation>
    <dataValidation type="list" allowBlank="1" showInputMessage="1" showErrorMessage="1" sqref="B61 B48:B58 B42 B38 B34 B30 B26 B22 B18 B14">
      <formula1>$Q$10:$Q$11</formula1>
    </dataValidation>
    <dataValidation type="whole" allowBlank="1" showInputMessage="1" showErrorMessage="1" sqref="B62">
      <formula1>1</formula1>
      <formula2>100</formula2>
    </dataValidation>
    <dataValidation type="list" allowBlank="1" showInputMessage="1" showErrorMessage="1" sqref="F65:F74">
      <formula1>$Q$23:$Q$26</formula1>
    </dataValidation>
    <dataValidation type="list" allowBlank="1" showInputMessage="1" showErrorMessage="1" sqref="B65:B74">
      <formula1>$Q$15:$Q$20</formula1>
    </dataValidation>
    <dataValidation type="decimal" allowBlank="1" showInputMessage="1" showErrorMessage="1" error="Please enter a number greater than zero" sqref="B11">
      <formula1>0</formula1>
      <formula2>1000000</formula2>
    </dataValidation>
    <dataValidation type="decimal" operator="lessThan" allowBlank="1" showInputMessage="1" showErrorMessage="1" error="Please enter a value between 0.01 and 1.00." sqref="B16 B44 B40 B36 B32 B28 B24 B20">
      <formula1>1.000001</formula1>
    </dataValidation>
    <dataValidation type="list" allowBlank="1" showInputMessage="1" showErrorMessage="1" sqref="H65:H74 L65:L74">
      <formula1>$Q$10:$Q$12</formula1>
    </dataValidation>
  </dataValidations>
  <printOptions/>
  <pageMargins left="0.75" right="0.75" top="1.25" bottom="1.36" header="0.5" footer="0.5"/>
  <pageSetup fitToHeight="3" horizontalDpi="600" verticalDpi="600" orientation="portrait" scale="50" r:id="rId2"/>
  <headerFooter alignWithMargins="0">
    <oddHeader>&amp;L&amp;"Arial Narrow,Bold"&amp;11FOCUS WV Brownfields Mini-Grant Program 
Land Use Decision Enhancer Tool:
&amp;A, Page &amp;P of &amp;N&amp;R&amp;"Arial Narrow,Bold"Today's Date: &amp;D
&amp;"Arial Narrow,Regular"Prepared by: SRA International, Inc. and Vita Nuova, LLC</oddHeader>
    <oddFooter>&amp;L&amp;G&amp;C&amp;"Arial Narrow,Regular"This tool should not be used independently or as a primary reuse decision making tool. Reuse and
investment planning should be based on unique drivers, detailed valuation tools, and local knowledge of the site.&amp;R&amp;G</oddFooter>
  </headerFooter>
  <rowBreaks count="1" manualBreakCount="1">
    <brk id="55" max="11" man="1"/>
  </rowBreaks>
  <legacyDrawingHF r:id="rId1"/>
</worksheet>
</file>

<file path=xl/worksheets/sheet2.xml><?xml version="1.0" encoding="utf-8"?>
<worksheet xmlns="http://schemas.openxmlformats.org/spreadsheetml/2006/main" xmlns:r="http://schemas.openxmlformats.org/officeDocument/2006/relationships">
  <sheetPr>
    <tabColor indexed="56"/>
  </sheetPr>
  <dimension ref="A1:X8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8.8515625" defaultRowHeight="12.75" outlineLevelCol="1"/>
  <cols>
    <col min="1" max="1" width="51.140625" style="93" customWidth="1"/>
    <col min="2" max="2" width="27.421875" style="93" customWidth="1"/>
    <col min="3" max="3" width="11.140625" style="93" customWidth="1"/>
    <col min="4" max="4" width="30.00390625" style="101" customWidth="1"/>
    <col min="5" max="5" width="24.140625" style="52" hidden="1" customWidth="1" outlineLevel="1"/>
    <col min="6" max="6" width="17.421875" style="53" customWidth="1" collapsed="1"/>
    <col min="7" max="7" width="9.140625" style="101" hidden="1" customWidth="1" outlineLevel="1"/>
    <col min="8" max="17" width="9.140625" style="93" hidden="1" customWidth="1" outlineLevel="1"/>
    <col min="18" max="18" width="9.140625" style="93" customWidth="1" collapsed="1"/>
    <col min="19" max="16384" width="8.8515625" style="93" customWidth="1"/>
  </cols>
  <sheetData>
    <row r="1" spans="1:2" ht="13.5">
      <c r="A1" s="273" t="s">
        <v>429</v>
      </c>
      <c r="B1" s="274"/>
    </row>
    <row r="2" spans="1:24" s="280" customFormat="1" ht="16.5">
      <c r="A2" s="276">
        <f>IF('1. Property'!B4="","",'1. Property'!B4)</f>
      </c>
      <c r="B2" s="277"/>
      <c r="C2" s="279"/>
      <c r="D2" s="101"/>
      <c r="E2" s="272"/>
      <c r="F2" s="272"/>
      <c r="G2" s="272"/>
      <c r="H2" s="272"/>
      <c r="I2" s="272"/>
      <c r="J2" s="272"/>
      <c r="K2" s="272"/>
      <c r="L2" s="272"/>
      <c r="M2" s="272"/>
      <c r="N2" s="272"/>
      <c r="O2" s="272"/>
      <c r="P2" s="272"/>
      <c r="Q2" s="272"/>
      <c r="R2" s="272"/>
      <c r="S2" s="272"/>
      <c r="T2" s="272"/>
      <c r="U2" s="272"/>
      <c r="V2" s="272"/>
      <c r="W2" s="272"/>
      <c r="X2" s="272"/>
    </row>
    <row r="3" spans="1:17" ht="12.75">
      <c r="A3" s="221" t="s">
        <v>159</v>
      </c>
      <c r="B3" s="121"/>
      <c r="C3" s="222"/>
      <c r="E3" s="223" t="s">
        <v>189</v>
      </c>
      <c r="F3" s="59"/>
      <c r="G3" s="57"/>
      <c r="H3" s="67" t="s">
        <v>20</v>
      </c>
      <c r="I3" s="67" t="s">
        <v>292</v>
      </c>
      <c r="J3" s="67" t="s">
        <v>22</v>
      </c>
      <c r="K3" s="67" t="s">
        <v>293</v>
      </c>
      <c r="L3" s="67" t="s">
        <v>294</v>
      </c>
      <c r="M3" s="67" t="s">
        <v>162</v>
      </c>
      <c r="N3" s="67" t="s">
        <v>23</v>
      </c>
      <c r="O3" s="67" t="s">
        <v>220</v>
      </c>
      <c r="P3" s="67" t="s">
        <v>156</v>
      </c>
      <c r="Q3" s="67" t="s">
        <v>165</v>
      </c>
    </row>
    <row r="4" spans="1:17" ht="12.75">
      <c r="A4" s="139" t="s">
        <v>160</v>
      </c>
      <c r="B4" s="122"/>
      <c r="C4" s="52"/>
      <c r="D4" s="53"/>
      <c r="E4" s="65" t="s">
        <v>2</v>
      </c>
      <c r="F4" s="66"/>
      <c r="G4" s="94" t="s">
        <v>180</v>
      </c>
      <c r="H4" s="95">
        <f aca="true" t="shared" si="0" ref="H4:Q4">IF(MAX(H5:H42)=999,999,SUM(H5:H42))</f>
        <v>0</v>
      </c>
      <c r="I4" s="95">
        <f t="shared" si="0"/>
        <v>0</v>
      </c>
      <c r="J4" s="95">
        <f t="shared" si="0"/>
        <v>0</v>
      </c>
      <c r="K4" s="95">
        <f t="shared" si="0"/>
        <v>0</v>
      </c>
      <c r="L4" s="95">
        <f t="shared" si="0"/>
        <v>0</v>
      </c>
      <c r="M4" s="95">
        <f t="shared" si="0"/>
        <v>0</v>
      </c>
      <c r="N4" s="95">
        <f t="shared" si="0"/>
        <v>0</v>
      </c>
      <c r="O4" s="95">
        <f t="shared" si="0"/>
        <v>0</v>
      </c>
      <c r="P4" s="95">
        <f t="shared" si="0"/>
        <v>0</v>
      </c>
      <c r="Q4" s="95">
        <f t="shared" si="0"/>
        <v>0</v>
      </c>
    </row>
    <row r="5" spans="1:18" ht="12.75">
      <c r="A5" s="96">
        <f>IF(B4="No","A brownfield property that has not been assessed is a deterrent to potential developers.",IF(B4="Yes","To what extent has the property been assessed?",""))</f>
      </c>
      <c r="B5" s="226"/>
      <c r="C5" s="52"/>
      <c r="D5" s="53"/>
      <c r="E5" s="65" t="s">
        <v>3</v>
      </c>
      <c r="F5" s="66"/>
      <c r="G5" s="53"/>
      <c r="H5" s="97"/>
      <c r="I5" s="97"/>
      <c r="J5" s="97"/>
      <c r="K5" s="97"/>
      <c r="L5" s="97"/>
      <c r="M5" s="97"/>
      <c r="N5" s="97"/>
      <c r="O5" s="97"/>
      <c r="P5" s="97"/>
      <c r="Q5" s="97"/>
      <c r="R5" s="97"/>
    </row>
    <row r="6" spans="1:17" ht="12.75">
      <c r="A6" s="52">
        <f>IF(B4="No","An undefined risk exists that cannot be quantified by interested parties.","")</f>
      </c>
      <c r="B6" s="108"/>
      <c r="C6" s="52"/>
      <c r="D6" s="53"/>
      <c r="E6" s="65"/>
      <c r="F6" s="66"/>
      <c r="G6" s="53"/>
      <c r="H6" s="97"/>
      <c r="I6" s="97"/>
      <c r="J6" s="97"/>
      <c r="K6" s="97"/>
      <c r="L6" s="97"/>
      <c r="M6" s="97"/>
      <c r="N6" s="97"/>
      <c r="O6" s="97"/>
      <c r="P6" s="97"/>
      <c r="Q6" s="97"/>
    </row>
    <row r="7" spans="1:17" ht="12.75">
      <c r="A7" s="52">
        <f>IF($B$4="Yes","Is there known environmental contamination?","")</f>
      </c>
      <c r="B7" s="104"/>
      <c r="C7" s="52"/>
      <c r="D7" s="53"/>
      <c r="E7" s="65" t="s">
        <v>174</v>
      </c>
      <c r="F7" s="66"/>
      <c r="G7" s="53"/>
      <c r="H7" s="97"/>
      <c r="I7" s="97"/>
      <c r="J7" s="97"/>
      <c r="K7" s="97"/>
      <c r="L7" s="97"/>
      <c r="M7" s="97"/>
      <c r="N7" s="97"/>
      <c r="O7" s="97"/>
      <c r="P7" s="97"/>
      <c r="Q7" s="97"/>
    </row>
    <row r="8" spans="1:17" ht="12.75">
      <c r="A8" s="67">
        <f>IF(OR(B4="No",B7="No"),"Continue data entry on next spreadsheet tab.","")</f>
      </c>
      <c r="B8" s="115"/>
      <c r="C8" s="52"/>
      <c r="D8" s="53"/>
      <c r="E8" s="65" t="s">
        <v>386</v>
      </c>
      <c r="F8" s="66"/>
      <c r="G8" s="53"/>
      <c r="H8" s="97"/>
      <c r="I8" s="97"/>
      <c r="J8" s="97"/>
      <c r="K8" s="97"/>
      <c r="L8" s="97"/>
      <c r="M8" s="97"/>
      <c r="N8" s="97"/>
      <c r="O8" s="97"/>
      <c r="P8" s="97"/>
      <c r="Q8" s="97"/>
    </row>
    <row r="9" spans="1:17" ht="12" customHeight="1">
      <c r="A9" s="96">
        <f>IF(AND($B$4="Yes",OR($B$7="No",$B$7="")),"",IF($B$4="Yes","Has the contamination been addressed?",""))</f>
      </c>
      <c r="B9" s="104"/>
      <c r="C9" s="52"/>
      <c r="D9" s="53"/>
      <c r="E9" s="225" t="s">
        <v>175</v>
      </c>
      <c r="F9" s="66"/>
      <c r="G9" s="53"/>
      <c r="H9" s="97"/>
      <c r="I9" s="97"/>
      <c r="J9" s="97"/>
      <c r="K9" s="97"/>
      <c r="L9" s="97"/>
      <c r="M9" s="97"/>
      <c r="N9" s="97"/>
      <c r="O9" s="97"/>
      <c r="P9" s="97"/>
      <c r="Q9" s="97"/>
    </row>
    <row r="10" spans="1:17" ht="25.5" customHeight="1">
      <c r="A10" s="98">
        <f>IF(AND($B$4="Yes",OR($B$7="No",$B$7="")),"",IF($B$4="Yes","Have land use restrictions resulted from this environmental condition or will land use restrictions likely result in the future?",""))</f>
      </c>
      <c r="B10" s="104"/>
      <c r="C10" s="52"/>
      <c r="D10" s="53"/>
      <c r="E10" s="68"/>
      <c r="F10" s="69"/>
      <c r="G10" s="53"/>
      <c r="H10" s="97"/>
      <c r="I10" s="97"/>
      <c r="J10" s="97"/>
      <c r="K10" s="97"/>
      <c r="L10" s="97"/>
      <c r="M10" s="97"/>
      <c r="N10" s="97"/>
      <c r="O10" s="97"/>
      <c r="P10" s="97"/>
      <c r="Q10" s="97"/>
    </row>
    <row r="11" spans="1:17" ht="12.75">
      <c r="A11" s="98"/>
      <c r="B11" s="98"/>
      <c r="C11" s="52"/>
      <c r="D11" s="53"/>
      <c r="E11" s="65" t="s">
        <v>3</v>
      </c>
      <c r="F11" s="69"/>
      <c r="G11" s="53"/>
      <c r="H11" s="97"/>
      <c r="I11" s="97"/>
      <c r="J11" s="97"/>
      <c r="K11" s="97"/>
      <c r="L11" s="97"/>
      <c r="M11" s="97"/>
      <c r="N11" s="97"/>
      <c r="O11" s="97"/>
      <c r="P11" s="97"/>
      <c r="Q11" s="97"/>
    </row>
    <row r="12" spans="1:17" ht="27" customHeight="1">
      <c r="A12" s="83">
        <f>IF(AND($B$4="Yes",OR($B$7="No",$B$7="")),"",IF(AND($B$4="Yes",B10="yes"),"What uses are likely to be restricted on the useable acreage of the site? (check all that apply)",""))</f>
      </c>
      <c r="B12" s="116"/>
      <c r="C12" s="96"/>
      <c r="D12" s="53"/>
      <c r="E12" s="65" t="s">
        <v>215</v>
      </c>
      <c r="F12" s="71"/>
      <c r="G12" s="53"/>
      <c r="H12" s="97"/>
      <c r="I12" s="97"/>
      <c r="J12" s="97"/>
      <c r="K12" s="97"/>
      <c r="L12" s="97"/>
      <c r="M12" s="97"/>
      <c r="N12" s="97"/>
      <c r="O12" s="97"/>
      <c r="P12" s="97"/>
      <c r="Q12" s="97"/>
    </row>
    <row r="13" spans="1:17" ht="12.75">
      <c r="A13" s="83">
        <f>IF(AND($B$4="Yes",OR($B$7="No",$B$7="")),"",IF(AND($B$4="Yes",$B$10="yes"),H$3,""))</f>
      </c>
      <c r="B13" s="92"/>
      <c r="C13" s="96"/>
      <c r="D13" s="53"/>
      <c r="E13" s="99" t="s">
        <v>216</v>
      </c>
      <c r="F13" s="69"/>
      <c r="G13" s="53"/>
      <c r="H13" s="97">
        <f>IF($B13="Yes",999,0)</f>
        <v>0</v>
      </c>
      <c r="I13" s="97"/>
      <c r="J13" s="97"/>
      <c r="K13" s="97"/>
      <c r="L13" s="97"/>
      <c r="M13" s="97"/>
      <c r="N13" s="97"/>
      <c r="O13" s="97"/>
      <c r="P13" s="97"/>
      <c r="Q13" s="97"/>
    </row>
    <row r="14" spans="1:17" ht="12.75">
      <c r="A14" s="83">
        <f>IF(AND($B$4="Yes",OR($B$7="No",$B$7="")),"",IF(AND($B$4="Yes",$B$10="yes"),I$3,""))</f>
      </c>
      <c r="B14" s="92"/>
      <c r="C14" s="96"/>
      <c r="D14" s="53"/>
      <c r="E14" s="100"/>
      <c r="F14" s="69"/>
      <c r="G14" s="53"/>
      <c r="H14" s="97"/>
      <c r="I14" s="97">
        <f>IF($B14="Yes",999,0)</f>
        <v>0</v>
      </c>
      <c r="J14" s="97"/>
      <c r="K14" s="97"/>
      <c r="L14" s="97"/>
      <c r="M14" s="97"/>
      <c r="N14" s="97"/>
      <c r="O14" s="97"/>
      <c r="P14" s="97"/>
      <c r="Q14" s="97"/>
    </row>
    <row r="15" spans="1:17" ht="12.75">
      <c r="A15" s="83">
        <f>IF(AND($B$4="Yes",OR($B$7="No",$B$7="")),"",IF(AND($B$4="Yes",$B$10="yes"),J$3,""))</f>
      </c>
      <c r="B15" s="92"/>
      <c r="C15" s="96"/>
      <c r="D15" s="53"/>
      <c r="E15" s="58"/>
      <c r="F15" s="69"/>
      <c r="G15" s="53"/>
      <c r="H15" s="97"/>
      <c r="I15" s="97"/>
      <c r="J15" s="97">
        <f>IF($B15="Yes",999,0)</f>
        <v>0</v>
      </c>
      <c r="K15" s="97"/>
      <c r="L15" s="97"/>
      <c r="M15" s="97"/>
      <c r="N15" s="97"/>
      <c r="O15" s="97"/>
      <c r="P15" s="97"/>
      <c r="Q15" s="97"/>
    </row>
    <row r="16" spans="1:17" ht="12.75">
      <c r="A16" s="83">
        <f>IF(AND($B$4="Yes",OR($B$7="No",$B$7="")),"",IF(AND($B$4="Yes",$B$10="yes"),K$3,""))</f>
      </c>
      <c r="B16" s="92"/>
      <c r="C16" s="96"/>
      <c r="D16" s="53"/>
      <c r="E16" s="58"/>
      <c r="F16" s="69"/>
      <c r="G16" s="53"/>
      <c r="H16" s="97"/>
      <c r="I16" s="97"/>
      <c r="J16" s="97"/>
      <c r="K16" s="97">
        <f>IF($B16="Yes",999,0)</f>
        <v>0</v>
      </c>
      <c r="L16" s="97"/>
      <c r="M16" s="97"/>
      <c r="N16" s="97"/>
      <c r="O16" s="97"/>
      <c r="P16" s="97"/>
      <c r="Q16" s="97"/>
    </row>
    <row r="17" spans="1:17" ht="12.75">
      <c r="A17" s="83">
        <f>IF(AND($B$4="Yes",OR($B$7="No",$B$7="")),"",IF(AND($B$4="Yes",$B$10="yes"),L$3,""))</f>
      </c>
      <c r="B17" s="92"/>
      <c r="C17" s="96"/>
      <c r="D17" s="53"/>
      <c r="E17" s="58"/>
      <c r="F17" s="69"/>
      <c r="G17" s="53"/>
      <c r="H17" s="97"/>
      <c r="I17" s="97"/>
      <c r="J17" s="97"/>
      <c r="K17" s="97"/>
      <c r="L17" s="97">
        <f>IF($B17="Yes",999,0)</f>
        <v>0</v>
      </c>
      <c r="M17" s="97"/>
      <c r="N17" s="97"/>
      <c r="O17" s="97"/>
      <c r="P17" s="97"/>
      <c r="Q17" s="97"/>
    </row>
    <row r="18" spans="1:17" ht="12.75">
      <c r="A18" s="83">
        <f>IF(AND($B$4="Yes",OR($B$7="No",$B$7="")),"",IF(AND($B$4="Yes",$B$10="yes"),M$3,""))</f>
      </c>
      <c r="B18" s="92"/>
      <c r="C18" s="96"/>
      <c r="D18" s="53"/>
      <c r="E18" s="58"/>
      <c r="F18" s="69"/>
      <c r="G18" s="53"/>
      <c r="H18" s="97"/>
      <c r="I18" s="97"/>
      <c r="J18" s="97"/>
      <c r="K18" s="97"/>
      <c r="L18" s="97"/>
      <c r="M18" s="97">
        <f>IF($B18="Yes",999,0)</f>
        <v>0</v>
      </c>
      <c r="N18" s="97"/>
      <c r="O18" s="97"/>
      <c r="P18" s="97"/>
      <c r="Q18" s="97"/>
    </row>
    <row r="19" spans="1:17" ht="12.75">
      <c r="A19" s="83">
        <f>IF(AND($B$4="Yes",OR($B$7="No",$B$7="")),"",IF(AND($B$4="Yes",$B$10="yes"),N$3,""))</f>
      </c>
      <c r="B19" s="92"/>
      <c r="C19" s="96"/>
      <c r="D19" s="53"/>
      <c r="E19" s="58"/>
      <c r="F19" s="69"/>
      <c r="G19" s="53"/>
      <c r="H19" s="97"/>
      <c r="I19" s="97"/>
      <c r="J19" s="97"/>
      <c r="K19" s="97"/>
      <c r="L19" s="97"/>
      <c r="M19" s="97"/>
      <c r="N19" s="97">
        <f>IF($B19="Yes",999,0)</f>
        <v>0</v>
      </c>
      <c r="O19" s="97"/>
      <c r="P19" s="97"/>
      <c r="Q19" s="97"/>
    </row>
    <row r="20" spans="1:17" ht="12.75">
      <c r="A20" s="83">
        <f>IF(AND($B$4="Yes",OR($B$7="No",$B$7="")),"",IF(AND($B$4="Yes",$B$10="yes"),O$3,""))</f>
      </c>
      <c r="B20" s="92"/>
      <c r="C20" s="96"/>
      <c r="D20" s="53"/>
      <c r="E20" s="58"/>
      <c r="F20" s="69"/>
      <c r="G20" s="53"/>
      <c r="H20" s="97"/>
      <c r="I20" s="97"/>
      <c r="J20" s="97"/>
      <c r="K20" s="97"/>
      <c r="L20" s="97"/>
      <c r="M20" s="97"/>
      <c r="N20" s="97"/>
      <c r="O20" s="97">
        <f>IF($B20="Yes",999,0)</f>
        <v>0</v>
      </c>
      <c r="P20" s="97"/>
      <c r="Q20" s="97"/>
    </row>
    <row r="21" spans="1:17" ht="14.25" customHeight="1">
      <c r="A21" s="83">
        <f>IF(AND($B$4="Yes",OR($B$7="No",$B$7="")),"",IF(AND($B$4="Yes",$B$10="yes"),P$3,""))</f>
      </c>
      <c r="B21" s="92"/>
      <c r="C21" s="96"/>
      <c r="D21" s="53"/>
      <c r="E21" s="58"/>
      <c r="F21" s="69"/>
      <c r="G21" s="53"/>
      <c r="H21" s="97"/>
      <c r="I21" s="97"/>
      <c r="J21" s="97"/>
      <c r="K21" s="97"/>
      <c r="L21" s="97"/>
      <c r="M21" s="97"/>
      <c r="N21" s="97"/>
      <c r="O21" s="97"/>
      <c r="P21" s="97">
        <f>IF($B21="Yes",999,0)</f>
        <v>0</v>
      </c>
      <c r="Q21" s="97"/>
    </row>
    <row r="22" spans="1:17" ht="14.25" customHeight="1">
      <c r="A22" s="83">
        <f>IF(AND($B$4="Yes",OR($B$7="No",$B$7="")),"",IF(AND($B$4="Yes",$B$10="yes"),Q$3,""))</f>
      </c>
      <c r="B22" s="92"/>
      <c r="C22" s="96"/>
      <c r="D22" s="53"/>
      <c r="E22" s="58"/>
      <c r="F22" s="69"/>
      <c r="G22" s="53"/>
      <c r="H22" s="97"/>
      <c r="I22" s="97"/>
      <c r="J22" s="97"/>
      <c r="K22" s="97"/>
      <c r="L22" s="97"/>
      <c r="M22" s="97"/>
      <c r="N22" s="97"/>
      <c r="O22" s="97"/>
      <c r="P22" s="97"/>
      <c r="Q22" s="97">
        <f>IF($B22="Yes",999,0)</f>
        <v>0</v>
      </c>
    </row>
    <row r="23" spans="3:17" ht="12.75">
      <c r="C23" s="52"/>
      <c r="D23" s="53"/>
      <c r="E23" s="58"/>
      <c r="F23" s="69"/>
      <c r="G23" s="53"/>
      <c r="H23" s="97"/>
      <c r="I23" s="97"/>
      <c r="J23" s="97"/>
      <c r="K23" s="97"/>
      <c r="L23" s="97"/>
      <c r="M23" s="97"/>
      <c r="N23" s="97"/>
      <c r="O23" s="97"/>
      <c r="P23" s="97"/>
      <c r="Q23" s="97"/>
    </row>
    <row r="24" spans="1:17" ht="25.5" customHeight="1">
      <c r="A24" s="98">
        <f>IF(AND($B$4="Yes",OR($B$7="No",$B$7="")),"",IF($B$4="Yes","Have groundwater restrictions resulted from this environmental condition or will groundwater restrictions likely result in the future?",""))</f>
      </c>
      <c r="B24" s="104"/>
      <c r="C24" s="52"/>
      <c r="D24" s="53"/>
      <c r="E24" s="58"/>
      <c r="F24" s="69"/>
      <c r="G24" s="53"/>
      <c r="H24" s="97">
        <f>IF($B24="Yes",-1,0)</f>
        <v>0</v>
      </c>
      <c r="I24" s="97"/>
      <c r="J24" s="97"/>
      <c r="K24" s="97"/>
      <c r="L24" s="97"/>
      <c r="M24" s="97">
        <f>IF($B24="Yes",-1,0)</f>
        <v>0</v>
      </c>
      <c r="O24" s="97"/>
      <c r="P24" s="97"/>
      <c r="Q24" s="97"/>
    </row>
    <row r="25" spans="1:17" ht="12.75">
      <c r="A25" s="52"/>
      <c r="B25" s="52"/>
      <c r="C25" s="52"/>
      <c r="D25" s="53"/>
      <c r="G25" s="53"/>
      <c r="H25" s="97"/>
      <c r="I25" s="97"/>
      <c r="J25" s="97"/>
      <c r="K25" s="97"/>
      <c r="L25" s="97"/>
      <c r="M25" s="97"/>
      <c r="N25" s="97"/>
      <c r="O25" s="97"/>
      <c r="P25" s="97"/>
      <c r="Q25" s="97"/>
    </row>
    <row r="26" spans="1:17" ht="12.75">
      <c r="A26" s="52">
        <f>IF(AND($B$4="Yes",OR($B$7="No",$B$7="")),"",IF($B$4="Yes","Are vapors likely to be an issue for new construction?",""))</f>
      </c>
      <c r="B26" s="104"/>
      <c r="C26" s="52"/>
      <c r="D26" s="53"/>
      <c r="E26" s="58"/>
      <c r="F26" s="69"/>
      <c r="G26" s="53"/>
      <c r="H26" s="97">
        <f>IF($B26="Yes",-1,0)</f>
        <v>0</v>
      </c>
      <c r="I26" s="97">
        <f>IF($B26="Yes",-1,0)</f>
        <v>0</v>
      </c>
      <c r="J26" s="97">
        <f>IF($B26="Yes",-1,0)</f>
        <v>0</v>
      </c>
      <c r="K26" s="97"/>
      <c r="L26" s="97"/>
      <c r="M26" s="97">
        <f>IF($B26="Yes",-1,0)</f>
        <v>0</v>
      </c>
      <c r="O26" s="97"/>
      <c r="P26" s="97"/>
      <c r="Q26" s="97"/>
    </row>
    <row r="27" spans="1:17" ht="12.75">
      <c r="A27" s="52"/>
      <c r="B27" s="52"/>
      <c r="C27" s="52"/>
      <c r="D27" s="53"/>
      <c r="E27" s="58"/>
      <c r="F27" s="69"/>
      <c r="G27" s="53"/>
      <c r="H27" s="97"/>
      <c r="I27" s="97"/>
      <c r="J27" s="97"/>
      <c r="K27" s="97"/>
      <c r="L27" s="97"/>
      <c r="M27" s="97"/>
      <c r="N27" s="97"/>
      <c r="O27" s="97"/>
      <c r="P27" s="97"/>
      <c r="Q27" s="97"/>
    </row>
    <row r="28" spans="1:17" ht="12.75">
      <c r="A28" s="52">
        <f>IF(AND($B$4="Yes",OR($B$7="No",$B$7="")),"",IF($B$4="Yes","Are corrective measures likely to take more than 5 years?",""))</f>
      </c>
      <c r="B28" s="104"/>
      <c r="C28" s="52"/>
      <c r="D28" s="53"/>
      <c r="E28" s="58"/>
      <c r="F28" s="69"/>
      <c r="G28" s="53"/>
      <c r="H28" s="97"/>
      <c r="I28" s="97"/>
      <c r="J28" s="97"/>
      <c r="K28" s="97"/>
      <c r="L28" s="97"/>
      <c r="M28" s="97"/>
      <c r="N28" s="97"/>
      <c r="O28" s="97"/>
      <c r="P28" s="97"/>
      <c r="Q28" s="97"/>
    </row>
    <row r="29" spans="1:17" ht="12.75">
      <c r="A29" s="61"/>
      <c r="B29" s="74"/>
      <c r="C29" s="52"/>
      <c r="D29" s="53"/>
      <c r="E29" s="58"/>
      <c r="F29" s="69"/>
      <c r="G29" s="53"/>
      <c r="H29" s="97"/>
      <c r="I29" s="97"/>
      <c r="J29" s="97"/>
      <c r="K29" s="97"/>
      <c r="L29" s="97"/>
      <c r="M29" s="97"/>
      <c r="N29" s="97"/>
      <c r="O29" s="97"/>
      <c r="P29" s="97"/>
      <c r="Q29" s="97"/>
    </row>
    <row r="30" spans="1:17" ht="12.75">
      <c r="A30" s="61"/>
      <c r="B30" s="73"/>
      <c r="C30" s="52"/>
      <c r="D30" s="53"/>
      <c r="E30" s="58"/>
      <c r="F30" s="69"/>
      <c r="G30" s="53"/>
      <c r="H30" s="97"/>
      <c r="I30" s="97"/>
      <c r="J30" s="97"/>
      <c r="K30" s="97"/>
      <c r="L30" s="97"/>
      <c r="M30" s="97"/>
      <c r="N30" s="97"/>
      <c r="O30" s="97"/>
      <c r="P30" s="97"/>
      <c r="Q30" s="97"/>
    </row>
    <row r="31" spans="1:17" ht="12.75">
      <c r="A31" s="52"/>
      <c r="B31" s="61"/>
      <c r="C31" s="52"/>
      <c r="D31" s="53"/>
      <c r="E31" s="58"/>
      <c r="F31" s="69"/>
      <c r="G31" s="53"/>
      <c r="H31" s="97"/>
      <c r="I31" s="97"/>
      <c r="J31" s="97"/>
      <c r="K31" s="97"/>
      <c r="L31" s="97"/>
      <c r="M31" s="97"/>
      <c r="N31" s="97"/>
      <c r="O31" s="97"/>
      <c r="P31" s="97"/>
      <c r="Q31" s="97"/>
    </row>
    <row r="32" spans="1:17" ht="12.75">
      <c r="A32" s="52"/>
      <c r="B32" s="61"/>
      <c r="C32" s="52"/>
      <c r="D32" s="53"/>
      <c r="E32" s="58"/>
      <c r="F32" s="69"/>
      <c r="G32" s="53"/>
      <c r="H32" s="97"/>
      <c r="I32" s="97"/>
      <c r="J32" s="97"/>
      <c r="K32" s="97"/>
      <c r="L32" s="97"/>
      <c r="M32" s="97"/>
      <c r="N32" s="97"/>
      <c r="O32" s="97"/>
      <c r="P32" s="97"/>
      <c r="Q32" s="97"/>
    </row>
    <row r="33" spans="1:17" ht="12.75">
      <c r="A33" s="52"/>
      <c r="B33" s="61"/>
      <c r="C33" s="52"/>
      <c r="D33" s="53"/>
      <c r="E33" s="58"/>
      <c r="F33" s="69"/>
      <c r="G33" s="53"/>
      <c r="H33" s="97"/>
      <c r="I33" s="97"/>
      <c r="J33" s="97"/>
      <c r="K33" s="97"/>
      <c r="L33" s="97"/>
      <c r="M33" s="97"/>
      <c r="N33" s="97"/>
      <c r="O33" s="97"/>
      <c r="P33" s="97"/>
      <c r="Q33" s="97"/>
    </row>
    <row r="34" spans="1:17" ht="12.75">
      <c r="A34" s="52"/>
      <c r="B34" s="61"/>
      <c r="C34" s="52"/>
      <c r="D34" s="53"/>
      <c r="E34" s="58"/>
      <c r="F34" s="69"/>
      <c r="G34" s="53"/>
      <c r="H34" s="97"/>
      <c r="I34" s="97"/>
      <c r="J34" s="97"/>
      <c r="K34" s="97"/>
      <c r="L34" s="97"/>
      <c r="M34" s="97"/>
      <c r="N34" s="97"/>
      <c r="O34" s="97"/>
      <c r="P34" s="97"/>
      <c r="Q34" s="97"/>
    </row>
    <row r="35" spans="1:18" ht="12.75">
      <c r="A35" s="61"/>
      <c r="B35" s="74"/>
      <c r="C35" s="52"/>
      <c r="D35" s="53"/>
      <c r="E35" s="58"/>
      <c r="F35" s="69"/>
      <c r="G35" s="53"/>
      <c r="H35" s="97"/>
      <c r="I35" s="97"/>
      <c r="J35" s="97"/>
      <c r="K35" s="97"/>
      <c r="L35" s="97"/>
      <c r="M35" s="97"/>
      <c r="N35" s="97"/>
      <c r="O35" s="97"/>
      <c r="P35" s="97"/>
      <c r="Q35" s="97"/>
      <c r="R35" s="97"/>
    </row>
    <row r="36" spans="3:18" ht="12.75">
      <c r="C36" s="52"/>
      <c r="D36" s="53"/>
      <c r="E36" s="58"/>
      <c r="F36" s="69"/>
      <c r="G36" s="53"/>
      <c r="H36" s="97"/>
      <c r="I36" s="97"/>
      <c r="J36" s="97"/>
      <c r="K36" s="97"/>
      <c r="L36" s="97"/>
      <c r="M36" s="97"/>
      <c r="N36" s="97"/>
      <c r="O36" s="97"/>
      <c r="P36" s="97"/>
      <c r="Q36" s="97"/>
      <c r="R36" s="97"/>
    </row>
    <row r="37" spans="3:18" ht="12.75">
      <c r="C37" s="52"/>
      <c r="D37" s="53"/>
      <c r="E37" s="58"/>
      <c r="F37" s="69"/>
      <c r="G37" s="53"/>
      <c r="H37" s="97"/>
      <c r="I37" s="97"/>
      <c r="J37" s="97"/>
      <c r="K37" s="97"/>
      <c r="L37" s="97"/>
      <c r="M37" s="97"/>
      <c r="N37" s="97"/>
      <c r="O37" s="97"/>
      <c r="P37" s="97"/>
      <c r="Q37" s="97"/>
      <c r="R37" s="97"/>
    </row>
    <row r="38" spans="3:18" ht="12.75">
      <c r="C38" s="52"/>
      <c r="D38" s="53"/>
      <c r="E38" s="58"/>
      <c r="F38" s="69"/>
      <c r="G38" s="53"/>
      <c r="H38" s="97"/>
      <c r="I38" s="97"/>
      <c r="J38" s="97"/>
      <c r="K38" s="97"/>
      <c r="L38" s="97"/>
      <c r="M38" s="97"/>
      <c r="N38" s="97"/>
      <c r="O38" s="97"/>
      <c r="P38" s="97"/>
      <c r="Q38" s="97"/>
      <c r="R38" s="97"/>
    </row>
    <row r="39" spans="3:18" ht="12.75">
      <c r="C39" s="52"/>
      <c r="D39" s="53"/>
      <c r="E39" s="58"/>
      <c r="F39" s="69"/>
      <c r="G39" s="53"/>
      <c r="H39" s="97"/>
      <c r="I39" s="97"/>
      <c r="J39" s="97"/>
      <c r="K39" s="97"/>
      <c r="L39" s="97"/>
      <c r="M39" s="97"/>
      <c r="N39" s="97"/>
      <c r="O39" s="97"/>
      <c r="P39" s="97"/>
      <c r="Q39" s="97"/>
      <c r="R39" s="97"/>
    </row>
    <row r="40" spans="3:18" ht="12.75">
      <c r="C40" s="52"/>
      <c r="D40" s="53"/>
      <c r="E40" s="58"/>
      <c r="F40" s="69"/>
      <c r="G40" s="53"/>
      <c r="H40" s="97"/>
      <c r="I40" s="97"/>
      <c r="J40" s="97"/>
      <c r="K40" s="97"/>
      <c r="L40" s="97"/>
      <c r="M40" s="97"/>
      <c r="N40" s="97"/>
      <c r="O40" s="97"/>
      <c r="P40" s="97"/>
      <c r="Q40" s="97"/>
      <c r="R40" s="97"/>
    </row>
    <row r="41" spans="3:18" ht="12.75">
      <c r="C41" s="52"/>
      <c r="D41" s="53"/>
      <c r="E41" s="58"/>
      <c r="F41" s="69"/>
      <c r="G41" s="53"/>
      <c r="H41" s="97"/>
      <c r="I41" s="97"/>
      <c r="J41" s="97"/>
      <c r="K41" s="97"/>
      <c r="L41" s="97"/>
      <c r="M41" s="97"/>
      <c r="N41" s="97"/>
      <c r="O41" s="97"/>
      <c r="P41" s="97"/>
      <c r="Q41" s="97"/>
      <c r="R41" s="97"/>
    </row>
    <row r="42" spans="1:18" ht="12.75">
      <c r="A42" s="61"/>
      <c r="B42" s="73"/>
      <c r="C42" s="52"/>
      <c r="D42" s="53"/>
      <c r="E42" s="58"/>
      <c r="F42" s="69"/>
      <c r="G42" s="53"/>
      <c r="H42" s="97"/>
      <c r="I42" s="97"/>
      <c r="J42" s="97"/>
      <c r="K42" s="97"/>
      <c r="L42" s="97"/>
      <c r="M42" s="97"/>
      <c r="N42" s="97"/>
      <c r="O42" s="97"/>
      <c r="P42" s="97"/>
      <c r="Q42" s="97"/>
      <c r="R42" s="97"/>
    </row>
    <row r="43" spans="1:18" ht="12.75">
      <c r="A43" s="52"/>
      <c r="B43" s="61"/>
      <c r="C43" s="52"/>
      <c r="D43" s="53"/>
      <c r="G43" s="53"/>
      <c r="H43" s="97"/>
      <c r="I43" s="97"/>
      <c r="J43" s="97"/>
      <c r="K43" s="97"/>
      <c r="L43" s="97"/>
      <c r="M43" s="97"/>
      <c r="N43" s="97"/>
      <c r="O43" s="97"/>
      <c r="P43" s="97"/>
      <c r="Q43" s="97"/>
      <c r="R43" s="97"/>
    </row>
    <row r="44" spans="8:18" ht="12.75">
      <c r="H44" s="97"/>
      <c r="I44" s="97"/>
      <c r="J44" s="97"/>
      <c r="K44" s="97"/>
      <c r="L44" s="97"/>
      <c r="M44" s="97"/>
      <c r="N44" s="97"/>
      <c r="O44" s="97"/>
      <c r="P44" s="97"/>
      <c r="Q44" s="97"/>
      <c r="R44" s="97"/>
    </row>
    <row r="45" spans="8:18" ht="12.75">
      <c r="H45" s="97"/>
      <c r="I45" s="97"/>
      <c r="J45" s="97"/>
      <c r="K45" s="97"/>
      <c r="L45" s="97"/>
      <c r="M45" s="97"/>
      <c r="N45" s="97"/>
      <c r="O45" s="97"/>
      <c r="P45" s="97"/>
      <c r="Q45" s="97"/>
      <c r="R45" s="97"/>
    </row>
    <row r="46" spans="8:18" ht="12.75">
      <c r="H46" s="102"/>
      <c r="I46" s="102"/>
      <c r="J46" s="102"/>
      <c r="K46" s="102"/>
      <c r="L46" s="102"/>
      <c r="M46" s="102"/>
      <c r="N46" s="102"/>
      <c r="O46" s="102"/>
      <c r="P46" s="102"/>
      <c r="Q46" s="102"/>
      <c r="R46" s="102"/>
    </row>
    <row r="47" spans="8:18" ht="12.75">
      <c r="H47" s="103"/>
      <c r="I47" s="103"/>
      <c r="J47" s="103"/>
      <c r="K47" s="103"/>
      <c r="L47" s="103"/>
      <c r="M47" s="103"/>
      <c r="N47" s="103"/>
      <c r="O47" s="103"/>
      <c r="P47" s="103"/>
      <c r="Q47" s="103"/>
      <c r="R47" s="103"/>
    </row>
    <row r="48" spans="8:18" ht="12.75">
      <c r="H48" s="103"/>
      <c r="I48" s="103"/>
      <c r="J48" s="103"/>
      <c r="K48" s="103"/>
      <c r="L48" s="103"/>
      <c r="M48" s="103"/>
      <c r="N48" s="103"/>
      <c r="O48" s="103"/>
      <c r="P48" s="103"/>
      <c r="Q48" s="103"/>
      <c r="R48" s="103"/>
    </row>
    <row r="49" spans="8:18" ht="12.75">
      <c r="H49" s="103"/>
      <c r="I49" s="103"/>
      <c r="J49" s="103"/>
      <c r="K49" s="103"/>
      <c r="L49" s="103"/>
      <c r="M49" s="103"/>
      <c r="N49" s="103"/>
      <c r="O49" s="103"/>
      <c r="P49" s="103"/>
      <c r="Q49" s="103"/>
      <c r="R49" s="103"/>
    </row>
    <row r="50" spans="8:18" ht="12.75">
      <c r="H50" s="103"/>
      <c r="I50" s="103"/>
      <c r="J50" s="103"/>
      <c r="K50" s="103"/>
      <c r="L50" s="103"/>
      <c r="M50" s="103"/>
      <c r="N50" s="103"/>
      <c r="O50" s="103"/>
      <c r="P50" s="103"/>
      <c r="Q50" s="103"/>
      <c r="R50" s="103"/>
    </row>
    <row r="51" spans="8:18" ht="12.75">
      <c r="H51" s="103"/>
      <c r="I51" s="103"/>
      <c r="J51" s="103"/>
      <c r="K51" s="103"/>
      <c r="L51" s="103"/>
      <c r="M51" s="103"/>
      <c r="N51" s="103"/>
      <c r="O51" s="103"/>
      <c r="P51" s="103"/>
      <c r="Q51" s="103"/>
      <c r="R51" s="103"/>
    </row>
    <row r="52" spans="8:18" ht="12.75">
      <c r="H52" s="103"/>
      <c r="I52" s="103"/>
      <c r="J52" s="103"/>
      <c r="K52" s="103"/>
      <c r="L52" s="103"/>
      <c r="M52" s="103"/>
      <c r="N52" s="103"/>
      <c r="O52" s="103"/>
      <c r="P52" s="103"/>
      <c r="Q52" s="103"/>
      <c r="R52" s="103"/>
    </row>
    <row r="53" spans="8:18" ht="12.75">
      <c r="H53" s="103"/>
      <c r="I53" s="103"/>
      <c r="J53" s="103"/>
      <c r="K53" s="103"/>
      <c r="L53" s="103"/>
      <c r="M53" s="103"/>
      <c r="N53" s="103"/>
      <c r="O53" s="103"/>
      <c r="P53" s="103"/>
      <c r="Q53" s="103"/>
      <c r="R53" s="103"/>
    </row>
    <row r="54" spans="8:18" ht="12.75">
      <c r="H54" s="103"/>
      <c r="I54" s="103"/>
      <c r="J54" s="103"/>
      <c r="K54" s="103"/>
      <c r="L54" s="103"/>
      <c r="M54" s="103"/>
      <c r="N54" s="103"/>
      <c r="O54" s="103"/>
      <c r="P54" s="103"/>
      <c r="Q54" s="103"/>
      <c r="R54" s="103"/>
    </row>
    <row r="55" spans="8:18" ht="12.75">
      <c r="H55" s="103"/>
      <c r="I55" s="103"/>
      <c r="J55" s="103"/>
      <c r="K55" s="103"/>
      <c r="L55" s="103"/>
      <c r="M55" s="103"/>
      <c r="N55" s="103"/>
      <c r="O55" s="103"/>
      <c r="P55" s="103"/>
      <c r="Q55" s="103"/>
      <c r="R55" s="103"/>
    </row>
    <row r="56" spans="8:18" ht="12.75">
      <c r="H56" s="103"/>
      <c r="I56" s="103"/>
      <c r="J56" s="103"/>
      <c r="K56" s="103"/>
      <c r="L56" s="103"/>
      <c r="M56" s="103"/>
      <c r="N56" s="103"/>
      <c r="O56" s="103"/>
      <c r="P56" s="103"/>
      <c r="Q56" s="103"/>
      <c r="R56" s="103"/>
    </row>
    <row r="57" spans="8:18" ht="12.75">
      <c r="H57" s="103"/>
      <c r="I57" s="103"/>
      <c r="J57" s="103"/>
      <c r="K57" s="103"/>
      <c r="L57" s="103"/>
      <c r="M57" s="103"/>
      <c r="N57" s="103"/>
      <c r="O57" s="103"/>
      <c r="P57" s="103"/>
      <c r="Q57" s="103"/>
      <c r="R57" s="103"/>
    </row>
    <row r="58" spans="8:18" ht="12.75">
      <c r="H58" s="103"/>
      <c r="I58" s="103"/>
      <c r="J58" s="103"/>
      <c r="K58" s="103"/>
      <c r="L58" s="103"/>
      <c r="M58" s="103"/>
      <c r="N58" s="103"/>
      <c r="O58" s="103"/>
      <c r="P58" s="103"/>
      <c r="Q58" s="103"/>
      <c r="R58" s="103"/>
    </row>
    <row r="59" spans="8:18" ht="12.75">
      <c r="H59" s="103"/>
      <c r="I59" s="103"/>
      <c r="J59" s="103"/>
      <c r="K59" s="103"/>
      <c r="L59" s="103"/>
      <c r="M59" s="103"/>
      <c r="N59" s="103"/>
      <c r="O59" s="103"/>
      <c r="P59" s="103"/>
      <c r="Q59" s="103"/>
      <c r="R59" s="103"/>
    </row>
    <row r="60" spans="8:18" ht="12.75">
      <c r="H60" s="103"/>
      <c r="I60" s="103"/>
      <c r="J60" s="103"/>
      <c r="K60" s="103"/>
      <c r="L60" s="103"/>
      <c r="M60" s="103"/>
      <c r="N60" s="103"/>
      <c r="O60" s="103"/>
      <c r="P60" s="103"/>
      <c r="Q60" s="103"/>
      <c r="R60" s="103"/>
    </row>
    <row r="61" spans="8:18" ht="12.75">
      <c r="H61" s="103"/>
      <c r="I61" s="103"/>
      <c r="J61" s="103"/>
      <c r="K61" s="103"/>
      <c r="L61" s="103"/>
      <c r="M61" s="103"/>
      <c r="N61" s="103"/>
      <c r="O61" s="103"/>
      <c r="P61" s="103"/>
      <c r="Q61" s="103"/>
      <c r="R61" s="103"/>
    </row>
    <row r="62" spans="8:18" ht="12.75">
      <c r="H62" s="103"/>
      <c r="I62" s="103"/>
      <c r="J62" s="103"/>
      <c r="K62" s="103"/>
      <c r="L62" s="103"/>
      <c r="M62" s="103"/>
      <c r="N62" s="103"/>
      <c r="O62" s="103"/>
      <c r="P62" s="103"/>
      <c r="Q62" s="103"/>
      <c r="R62" s="103"/>
    </row>
    <row r="63" spans="5:18" ht="12.75">
      <c r="E63" s="53"/>
      <c r="H63" s="103"/>
      <c r="I63" s="103"/>
      <c r="J63" s="103"/>
      <c r="K63" s="103"/>
      <c r="L63" s="103"/>
      <c r="M63" s="103"/>
      <c r="N63" s="103"/>
      <c r="O63" s="103"/>
      <c r="P63" s="103"/>
      <c r="Q63" s="103"/>
      <c r="R63" s="103"/>
    </row>
    <row r="64" spans="5:18" ht="12.75">
      <c r="E64" s="53"/>
      <c r="H64" s="103"/>
      <c r="I64" s="103"/>
      <c r="J64" s="103"/>
      <c r="K64" s="103"/>
      <c r="L64" s="103"/>
      <c r="M64" s="103"/>
      <c r="N64" s="103"/>
      <c r="O64" s="103"/>
      <c r="P64" s="103"/>
      <c r="Q64" s="103"/>
      <c r="R64" s="103"/>
    </row>
    <row r="65" spans="5:18" ht="12.75">
      <c r="E65" s="53"/>
      <c r="H65" s="103"/>
      <c r="I65" s="103"/>
      <c r="J65" s="103"/>
      <c r="K65" s="103"/>
      <c r="L65" s="103"/>
      <c r="M65" s="103"/>
      <c r="N65" s="103"/>
      <c r="O65" s="103"/>
      <c r="P65" s="103"/>
      <c r="Q65" s="103"/>
      <c r="R65" s="103"/>
    </row>
    <row r="66" spans="5:18" ht="12.75">
      <c r="E66" s="53"/>
      <c r="H66" s="103"/>
      <c r="I66" s="103"/>
      <c r="J66" s="103"/>
      <c r="K66" s="103"/>
      <c r="L66" s="103"/>
      <c r="M66" s="103"/>
      <c r="N66" s="103"/>
      <c r="O66" s="103"/>
      <c r="P66" s="103"/>
      <c r="Q66" s="103"/>
      <c r="R66" s="103"/>
    </row>
    <row r="67" spans="5:18" ht="12.75">
      <c r="E67" s="53"/>
      <c r="H67" s="103"/>
      <c r="I67" s="103"/>
      <c r="J67" s="103"/>
      <c r="K67" s="103"/>
      <c r="L67" s="103"/>
      <c r="M67" s="103"/>
      <c r="N67" s="103"/>
      <c r="O67" s="103"/>
      <c r="P67" s="103"/>
      <c r="Q67" s="103"/>
      <c r="R67" s="103"/>
    </row>
    <row r="68" spans="5:18" ht="12.75">
      <c r="E68" s="53"/>
      <c r="H68" s="103"/>
      <c r="I68" s="103"/>
      <c r="J68" s="103"/>
      <c r="K68" s="103"/>
      <c r="L68" s="103"/>
      <c r="M68" s="103"/>
      <c r="N68" s="103"/>
      <c r="O68" s="103"/>
      <c r="P68" s="103"/>
      <c r="Q68" s="103"/>
      <c r="R68" s="103"/>
    </row>
    <row r="69" spans="5:18" ht="12.75">
      <c r="E69" s="53"/>
      <c r="H69" s="103"/>
      <c r="I69" s="103"/>
      <c r="J69" s="103"/>
      <c r="K69" s="103"/>
      <c r="L69" s="103"/>
      <c r="M69" s="103"/>
      <c r="N69" s="103"/>
      <c r="O69" s="103"/>
      <c r="P69" s="103"/>
      <c r="Q69" s="103"/>
      <c r="R69" s="103"/>
    </row>
    <row r="70" spans="5:18" ht="12.75">
      <c r="E70" s="53"/>
      <c r="H70" s="103"/>
      <c r="I70" s="103"/>
      <c r="J70" s="103"/>
      <c r="K70" s="103"/>
      <c r="L70" s="103"/>
      <c r="M70" s="103"/>
      <c r="N70" s="103"/>
      <c r="O70" s="103"/>
      <c r="P70" s="103"/>
      <c r="Q70" s="103"/>
      <c r="R70" s="103"/>
    </row>
    <row r="71" spans="5:18" ht="12.75">
      <c r="E71" s="53"/>
      <c r="H71" s="103"/>
      <c r="I71" s="103"/>
      <c r="J71" s="103"/>
      <c r="K71" s="103"/>
      <c r="L71" s="103"/>
      <c r="M71" s="103"/>
      <c r="N71" s="103"/>
      <c r="O71" s="103"/>
      <c r="P71" s="103"/>
      <c r="Q71" s="103"/>
      <c r="R71" s="103"/>
    </row>
    <row r="72" spans="5:18" ht="12.75">
      <c r="E72" s="53"/>
      <c r="H72" s="103"/>
      <c r="I72" s="103"/>
      <c r="J72" s="103"/>
      <c r="K72" s="103"/>
      <c r="L72" s="103"/>
      <c r="M72" s="103"/>
      <c r="N72" s="103"/>
      <c r="O72" s="103"/>
      <c r="P72" s="103"/>
      <c r="Q72" s="103"/>
      <c r="R72" s="103"/>
    </row>
    <row r="73" spans="5:18" ht="12.75">
      <c r="E73" s="53"/>
      <c r="H73" s="103"/>
      <c r="I73" s="103"/>
      <c r="J73" s="103"/>
      <c r="K73" s="103"/>
      <c r="L73" s="103"/>
      <c r="M73" s="103"/>
      <c r="N73" s="103"/>
      <c r="O73" s="103"/>
      <c r="P73" s="103"/>
      <c r="Q73" s="103"/>
      <c r="R73" s="103"/>
    </row>
    <row r="74" spans="5:18" ht="12.75">
      <c r="E74" s="53"/>
      <c r="H74" s="103"/>
      <c r="I74" s="103"/>
      <c r="J74" s="103"/>
      <c r="K74" s="103"/>
      <c r="L74" s="103"/>
      <c r="M74" s="103"/>
      <c r="N74" s="103"/>
      <c r="O74" s="103"/>
      <c r="P74" s="103"/>
      <c r="Q74" s="103"/>
      <c r="R74" s="103"/>
    </row>
    <row r="75" spans="8:18" ht="12.75">
      <c r="H75" s="103"/>
      <c r="I75" s="103"/>
      <c r="J75" s="103"/>
      <c r="K75" s="103"/>
      <c r="L75" s="103"/>
      <c r="M75" s="103"/>
      <c r="N75" s="103"/>
      <c r="O75" s="103"/>
      <c r="P75" s="103"/>
      <c r="Q75" s="103"/>
      <c r="R75" s="103"/>
    </row>
    <row r="76" spans="8:18" ht="12.75">
      <c r="H76" s="103"/>
      <c r="I76" s="103"/>
      <c r="J76" s="103"/>
      <c r="K76" s="103"/>
      <c r="L76" s="103"/>
      <c r="M76" s="103"/>
      <c r="N76" s="103"/>
      <c r="O76" s="103"/>
      <c r="P76" s="103"/>
      <c r="Q76" s="103"/>
      <c r="R76" s="103"/>
    </row>
    <row r="77" spans="8:18" ht="12.75">
      <c r="H77" s="103"/>
      <c r="I77" s="103"/>
      <c r="J77" s="103"/>
      <c r="K77" s="103"/>
      <c r="L77" s="103"/>
      <c r="M77" s="103"/>
      <c r="N77" s="103"/>
      <c r="O77" s="103"/>
      <c r="P77" s="103"/>
      <c r="Q77" s="103"/>
      <c r="R77" s="103"/>
    </row>
    <row r="78" spans="8:18" ht="12.75">
      <c r="H78" s="103"/>
      <c r="I78" s="103"/>
      <c r="J78" s="103"/>
      <c r="K78" s="103"/>
      <c r="L78" s="103"/>
      <c r="M78" s="103"/>
      <c r="N78" s="103"/>
      <c r="O78" s="103"/>
      <c r="P78" s="103"/>
      <c r="Q78" s="103"/>
      <c r="R78" s="103"/>
    </row>
    <row r="79" spans="8:18" ht="12.75">
      <c r="H79" s="103"/>
      <c r="I79" s="103"/>
      <c r="J79" s="103"/>
      <c r="K79" s="103"/>
      <c r="L79" s="103"/>
      <c r="M79" s="103"/>
      <c r="N79" s="103"/>
      <c r="O79" s="103"/>
      <c r="P79" s="103"/>
      <c r="Q79" s="103"/>
      <c r="R79" s="103"/>
    </row>
    <row r="80" spans="8:18" ht="12.75">
      <c r="H80" s="103"/>
      <c r="I80" s="103"/>
      <c r="J80" s="103"/>
      <c r="K80" s="103"/>
      <c r="L80" s="103"/>
      <c r="M80" s="103"/>
      <c r="N80" s="103"/>
      <c r="O80" s="103"/>
      <c r="P80" s="103"/>
      <c r="Q80" s="103"/>
      <c r="R80" s="103"/>
    </row>
    <row r="81" spans="8:18" ht="12.75">
      <c r="H81" s="103"/>
      <c r="I81" s="103"/>
      <c r="J81" s="103"/>
      <c r="K81" s="103"/>
      <c r="L81" s="103"/>
      <c r="M81" s="103"/>
      <c r="N81" s="103"/>
      <c r="O81" s="103"/>
      <c r="P81" s="103"/>
      <c r="Q81" s="103"/>
      <c r="R81" s="103"/>
    </row>
  </sheetData>
  <sheetProtection password="C687" sheet="1" objects="1" scenarios="1"/>
  <conditionalFormatting sqref="B35">
    <cfRule type="expression" priority="6" dxfId="53" stopIfTrue="1">
      <formula>B33="Yes"</formula>
    </cfRule>
  </conditionalFormatting>
  <conditionalFormatting sqref="B5">
    <cfRule type="expression" priority="31" dxfId="93" stopIfTrue="1">
      <formula>AND(B4="yes",B5=0)</formula>
    </cfRule>
  </conditionalFormatting>
  <conditionalFormatting sqref="B42">
    <cfRule type="expression" priority="4" dxfId="53" stopIfTrue="1">
      <formula>AND(#REF!="Yes",B42=0)</formula>
    </cfRule>
  </conditionalFormatting>
  <conditionalFormatting sqref="B29">
    <cfRule type="expression" priority="7" dxfId="53" stopIfTrue="1">
      <formula>AND(#REF!="Yes",B29=0)</formula>
    </cfRule>
  </conditionalFormatting>
  <conditionalFormatting sqref="B30">
    <cfRule type="expression" priority="8" dxfId="53" stopIfTrue="1">
      <formula>AND(#REF!="Yes",B30=0)</formula>
    </cfRule>
  </conditionalFormatting>
  <conditionalFormatting sqref="A5:A6">
    <cfRule type="expression" priority="16" dxfId="52" stopIfTrue="1">
      <formula>$B$4="No"</formula>
    </cfRule>
  </conditionalFormatting>
  <conditionalFormatting sqref="R35:R45 R5 O4:Q45 N4:N23 N25 N27:N45 H4:M45">
    <cfRule type="cellIs" priority="18" dxfId="24" operator="equal" stopIfTrue="1">
      <formula>999</formula>
    </cfRule>
  </conditionalFormatting>
  <conditionalFormatting sqref="A8">
    <cfRule type="expression" priority="20" dxfId="50" stopIfTrue="1">
      <formula>$B$4="No"</formula>
    </cfRule>
    <cfRule type="expression" priority="21" dxfId="49" stopIfTrue="1">
      <formula>$B$7="No"</formula>
    </cfRule>
  </conditionalFormatting>
  <conditionalFormatting sqref="B4">
    <cfRule type="cellIs" priority="30" dxfId="93" operator="equal" stopIfTrue="1">
      <formula>0</formula>
    </cfRule>
  </conditionalFormatting>
  <conditionalFormatting sqref="B7">
    <cfRule type="expression" priority="32" dxfId="93" stopIfTrue="1">
      <formula>AND($B$4="Yes",B7=0)</formula>
    </cfRule>
  </conditionalFormatting>
  <conditionalFormatting sqref="B9:B10 B24 B26 B28">
    <cfRule type="expression" priority="33" dxfId="93" stopIfTrue="1">
      <formula>AND($B$4="Yes",$B$7="Yes",B9=0)</formula>
    </cfRule>
  </conditionalFormatting>
  <conditionalFormatting sqref="B13:B22">
    <cfRule type="expression" priority="34" dxfId="94" stopIfTrue="1">
      <formula>AND($B$10="Yes",B13=0)</formula>
    </cfRule>
  </conditionalFormatting>
  <dataValidations count="4">
    <dataValidation type="list" allowBlank="1" showInputMessage="1" showErrorMessage="1" sqref="B24 B10 B7 B26 B13:B22 B28 B4">
      <formula1>$E$4:$E$5</formula1>
    </dataValidation>
    <dataValidation type="list" allowBlank="1" showInputMessage="1" showErrorMessage="1" sqref="B5">
      <formula1>$E$7:$E$9</formula1>
    </dataValidation>
    <dataValidation type="list" allowBlank="1" showInputMessage="1" showErrorMessage="1" sqref="C8:C9">
      <formula1>$E$15:$E$24</formula1>
    </dataValidation>
    <dataValidation type="list" allowBlank="1" showInputMessage="1" showErrorMessage="1" sqref="B9">
      <formula1>$E$11:$E$13</formula1>
    </dataValidation>
  </dataValidations>
  <printOptions/>
  <pageMargins left="0.75" right="0.75" top="1.25" bottom="1" header="0.5" footer="0.5"/>
  <pageSetup fitToHeight="3" horizontalDpi="600" verticalDpi="600" orientation="portrait" scale="85" r:id="rId2"/>
  <headerFooter>
    <oddHeader>&amp;L&amp;"Arial Narrow,Bold"&amp;11FOCUS WV Brownfields Mini-Grant Program 
Land Use Decision Enhancer Tool:
&amp;A, Page &amp;P of &amp;N&amp;R&amp;"Arial Narrow,Bold"Today's Date: &amp;D
&amp;"Arial Narrow,Regular"Prepared by: SRA International, Inc. and Vita Nuova, LLC</oddHeader>
    <oddFooter xml:space="preserve">&amp;L&amp;G &amp;CThis tool should not be used independently or as a primary reuse decision making tool.
Reuse and investment planning should be based on unique drivers, 
detailed valuation tools, and local knowledge of the site.&amp;R&amp;G  </oddFooter>
  </headerFooter>
  <legacyDrawingHF r:id="rId1"/>
</worksheet>
</file>

<file path=xl/worksheets/sheet3.xml><?xml version="1.0" encoding="utf-8"?>
<worksheet xmlns="http://schemas.openxmlformats.org/spreadsheetml/2006/main" xmlns:r="http://schemas.openxmlformats.org/officeDocument/2006/relationships">
  <sheetPr>
    <tabColor indexed="56"/>
  </sheetPr>
  <dimension ref="A1:FZ175"/>
  <sheetViews>
    <sheetView zoomScalePageLayoutView="0" workbookViewId="0" topLeftCell="A1">
      <pane xSplit="3" ySplit="1" topLeftCell="D2" activePane="bottomRight" state="frozen"/>
      <selection pane="topLeft" activeCell="D2" sqref="D2"/>
      <selection pane="topRight" activeCell="D2" sqref="D2"/>
      <selection pane="bottomLeft" activeCell="D2" sqref="D2"/>
      <selection pane="bottomRight" activeCell="A62" sqref="A62"/>
    </sheetView>
  </sheetViews>
  <sheetFormatPr defaultColWidth="9.140625" defaultRowHeight="12.75" outlineLevelCol="1"/>
  <cols>
    <col min="1" max="1" width="54.8515625" style="0" customWidth="1"/>
    <col min="2" max="2" width="19.28125" style="0" customWidth="1"/>
    <col min="3" max="3" width="15.00390625" style="0" customWidth="1"/>
    <col min="4" max="4" width="41.7109375" style="21" customWidth="1"/>
    <col min="5" max="5" width="23.421875" style="1" hidden="1" customWidth="1" outlineLevel="1"/>
    <col min="6" max="6" width="5.8515625" style="15" customWidth="1" collapsed="1"/>
    <col min="7" max="7" width="9.140625" style="15" hidden="1" customWidth="1" outlineLevel="1"/>
    <col min="8" max="8" width="22.7109375" style="0" hidden="1" customWidth="1" outlineLevel="1"/>
    <col min="9" max="17" width="9.140625" style="0" hidden="1" customWidth="1" outlineLevel="1"/>
    <col min="18" max="18" width="9.140625" style="0" customWidth="1" collapsed="1"/>
  </cols>
  <sheetData>
    <row r="1" spans="1:182" s="21" customFormat="1" ht="14.25" thickBot="1">
      <c r="A1" s="273" t="s">
        <v>347</v>
      </c>
      <c r="B1" s="274"/>
      <c r="C1" s="93"/>
      <c r="D1" s="93"/>
      <c r="E1" s="289"/>
      <c r="F1" s="288"/>
      <c r="G1" s="288"/>
      <c r="H1" s="288"/>
      <c r="I1" s="288"/>
      <c r="J1" s="288"/>
      <c r="K1" s="288"/>
      <c r="L1" s="288"/>
      <c r="M1" s="288"/>
      <c r="N1" s="288"/>
      <c r="O1" s="288"/>
      <c r="P1" s="288"/>
      <c r="Q1" s="288"/>
      <c r="R1" s="288"/>
      <c r="S1" s="288"/>
      <c r="T1" s="288"/>
      <c r="U1" s="288"/>
      <c r="V1" s="288"/>
      <c r="W1" s="288"/>
      <c r="X1" s="288"/>
      <c r="Y1" s="288"/>
      <c r="Z1" s="288"/>
      <c r="AA1" s="28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row>
    <row r="2" spans="1:182" s="21" customFormat="1" ht="16.5">
      <c r="A2" s="276">
        <f>IF('1. Property'!B4="","",'1. Property'!B4)</f>
      </c>
      <c r="B2" s="277"/>
      <c r="C2" s="279"/>
      <c r="D2" s="93"/>
      <c r="E2" s="281"/>
      <c r="F2" s="288"/>
      <c r="G2" s="288"/>
      <c r="H2" s="288"/>
      <c r="I2" s="288"/>
      <c r="J2" s="288"/>
      <c r="K2" s="288"/>
      <c r="L2" s="288"/>
      <c r="M2" s="288"/>
      <c r="N2" s="288"/>
      <c r="O2" s="288"/>
      <c r="P2" s="288"/>
      <c r="Q2" s="288"/>
      <c r="R2" s="288"/>
      <c r="S2" s="288"/>
      <c r="T2" s="288"/>
      <c r="U2" s="288"/>
      <c r="V2" s="288"/>
      <c r="W2" s="288"/>
      <c r="X2" s="288"/>
      <c r="Y2" s="288"/>
      <c r="Z2" s="288"/>
      <c r="AA2" s="28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row>
    <row r="3" spans="1:182" ht="12.75">
      <c r="A3" s="219" t="s">
        <v>157</v>
      </c>
      <c r="B3" s="140"/>
      <c r="C3" s="9"/>
      <c r="D3" s="28"/>
      <c r="E3" s="220" t="s">
        <v>189</v>
      </c>
      <c r="F3" s="29"/>
      <c r="G3" s="29"/>
      <c r="H3" s="4" t="s">
        <v>20</v>
      </c>
      <c r="I3" s="4" t="s">
        <v>292</v>
      </c>
      <c r="J3" s="4" t="s">
        <v>22</v>
      </c>
      <c r="K3" s="4" t="s">
        <v>293</v>
      </c>
      <c r="L3" s="4" t="s">
        <v>294</v>
      </c>
      <c r="M3" s="4" t="s">
        <v>162</v>
      </c>
      <c r="N3" s="4" t="s">
        <v>23</v>
      </c>
      <c r="O3" s="4" t="s">
        <v>220</v>
      </c>
      <c r="P3" s="4" t="s">
        <v>156</v>
      </c>
      <c r="Q3" s="4" t="s">
        <v>165</v>
      </c>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row>
    <row r="4" spans="1:182" ht="12.75">
      <c r="A4" s="1" t="s">
        <v>24</v>
      </c>
      <c r="B4" s="119"/>
      <c r="C4" s="1"/>
      <c r="D4" s="28"/>
      <c r="E4" s="25" t="s">
        <v>2</v>
      </c>
      <c r="F4" s="30"/>
      <c r="G4" s="33" t="s">
        <v>180</v>
      </c>
      <c r="H4" s="36">
        <f aca="true" t="shared" si="0" ref="H4:Q4">IF(MAX(H5:H115)=999,999,SUM(H5:H115))</f>
        <v>0</v>
      </c>
      <c r="I4" s="36">
        <f t="shared" si="0"/>
        <v>0</v>
      </c>
      <c r="J4" s="36">
        <f t="shared" si="0"/>
        <v>0</v>
      </c>
      <c r="K4" s="36">
        <f t="shared" si="0"/>
        <v>0</v>
      </c>
      <c r="L4" s="36">
        <f t="shared" si="0"/>
        <v>0</v>
      </c>
      <c r="M4" s="36">
        <f>IF(MAX(M5:M115)=999,999,SUM(M5:M115))</f>
        <v>0</v>
      </c>
      <c r="N4" s="36">
        <f>IF(MAX(N5:N115)=999,999,SUM(N5:N115))</f>
        <v>0</v>
      </c>
      <c r="O4" s="36">
        <f>IF(MAX(O5:O115)=999,999,SUM(O5:O115))</f>
        <v>0</v>
      </c>
      <c r="P4" s="36">
        <f t="shared" si="0"/>
        <v>0</v>
      </c>
      <c r="Q4" s="36">
        <f t="shared" si="0"/>
        <v>0</v>
      </c>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row>
    <row r="5" spans="1:182" ht="12.75">
      <c r="A5" s="3">
        <f>IF(B4="No","If not, how far away is the nearest electricity connection?","")</f>
      </c>
      <c r="B5" s="92"/>
      <c r="C5" s="1"/>
      <c r="D5" s="28"/>
      <c r="E5" s="25" t="s">
        <v>3</v>
      </c>
      <c r="F5" s="30"/>
      <c r="G5" s="30"/>
      <c r="H5" s="37">
        <f aca="true" t="shared" si="1" ref="H5:Q5">IF($B4="Yes",1,0)</f>
        <v>0</v>
      </c>
      <c r="I5" s="37">
        <f t="shared" si="1"/>
        <v>0</v>
      </c>
      <c r="J5" s="37">
        <f t="shared" si="1"/>
        <v>0</v>
      </c>
      <c r="K5" s="37">
        <f t="shared" si="1"/>
        <v>0</v>
      </c>
      <c r="L5" s="37">
        <f t="shared" si="1"/>
        <v>0</v>
      </c>
      <c r="M5" s="37">
        <f t="shared" si="1"/>
        <v>0</v>
      </c>
      <c r="N5" s="37">
        <f t="shared" si="1"/>
        <v>0</v>
      </c>
      <c r="O5" s="37">
        <f t="shared" si="1"/>
        <v>0</v>
      </c>
      <c r="P5" s="37">
        <f t="shared" si="1"/>
        <v>0</v>
      </c>
      <c r="Q5" s="37">
        <f t="shared" si="1"/>
        <v>0</v>
      </c>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row>
    <row r="6" spans="1:182" ht="12.75">
      <c r="A6" s="3"/>
      <c r="B6" s="3"/>
      <c r="C6" s="1"/>
      <c r="D6" s="28"/>
      <c r="E6" s="25" t="s">
        <v>217</v>
      </c>
      <c r="F6" s="30"/>
      <c r="G6" s="30"/>
      <c r="H6" s="37">
        <f aca="true" t="shared" si="2" ref="H6:Q6">IF($B5=$E$8,0,IF($B5=$E$9,-1,0))</f>
        <v>0</v>
      </c>
      <c r="I6" s="37">
        <f t="shared" si="2"/>
        <v>0</v>
      </c>
      <c r="J6" s="37">
        <f t="shared" si="2"/>
        <v>0</v>
      </c>
      <c r="K6" s="37">
        <f t="shared" si="2"/>
        <v>0</v>
      </c>
      <c r="L6" s="37">
        <f t="shared" si="2"/>
        <v>0</v>
      </c>
      <c r="M6" s="37">
        <f t="shared" si="2"/>
        <v>0</v>
      </c>
      <c r="N6" s="37">
        <f t="shared" si="2"/>
        <v>0</v>
      </c>
      <c r="O6" s="37">
        <f t="shared" si="2"/>
        <v>0</v>
      </c>
      <c r="P6" s="37">
        <f>IF($B5=$E$8,0,IF($B5=$E$9,0,0))</f>
        <v>0</v>
      </c>
      <c r="Q6" s="37">
        <f t="shared" si="2"/>
        <v>0</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row>
    <row r="7" spans="1:182" ht="25.5">
      <c r="A7" s="18" t="s">
        <v>178</v>
      </c>
      <c r="B7" s="119"/>
      <c r="C7" s="1"/>
      <c r="D7" s="28"/>
      <c r="E7" s="25"/>
      <c r="F7" s="30"/>
      <c r="G7" s="30"/>
      <c r="H7" s="37"/>
      <c r="I7" s="37"/>
      <c r="J7" s="37"/>
      <c r="K7" s="37">
        <f>IF($B$7="Yes",1,0)</f>
        <v>0</v>
      </c>
      <c r="L7" s="37"/>
      <c r="M7" s="37"/>
      <c r="N7" s="37"/>
      <c r="O7" s="37">
        <f>IF($B$7="Yes",1,0)</f>
        <v>0</v>
      </c>
      <c r="P7" s="37"/>
      <c r="Q7" s="37"/>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row>
    <row r="8" spans="1:182" ht="12.75">
      <c r="A8" s="1"/>
      <c r="B8" s="3"/>
      <c r="C8" s="1"/>
      <c r="D8" s="28"/>
      <c r="E8" s="25" t="s">
        <v>176</v>
      </c>
      <c r="F8" s="30"/>
      <c r="G8" s="30"/>
      <c r="H8" s="37"/>
      <c r="I8" s="37"/>
      <c r="J8" s="37"/>
      <c r="K8" s="37"/>
      <c r="L8" s="37"/>
      <c r="M8" s="37"/>
      <c r="N8" s="37"/>
      <c r="O8" s="37"/>
      <c r="P8" s="37"/>
      <c r="Q8" s="37"/>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row>
    <row r="9" spans="1:182" ht="12.75">
      <c r="A9" s="15" t="s">
        <v>158</v>
      </c>
      <c r="B9" s="119"/>
      <c r="C9" s="1"/>
      <c r="D9" s="28"/>
      <c r="E9" s="25" t="s">
        <v>177</v>
      </c>
      <c r="F9" s="28"/>
      <c r="G9" s="28"/>
      <c r="H9" s="37">
        <f>IF($B9="Yes",1,IF($B9="No",0,IF($B9=$E$6,-2,0)))</f>
        <v>0</v>
      </c>
      <c r="I9" s="37">
        <f aca="true" t="shared" si="3" ref="I9:Q9">IF($B9="Yes",1,IF($B9="No",0,IF($B9=$E$6,-2,0)))</f>
        <v>0</v>
      </c>
      <c r="J9" s="37">
        <f t="shared" si="3"/>
        <v>0</v>
      </c>
      <c r="K9" s="37">
        <f t="shared" si="3"/>
        <v>0</v>
      </c>
      <c r="L9" s="37">
        <f t="shared" si="3"/>
        <v>0</v>
      </c>
      <c r="M9" s="37">
        <f t="shared" si="3"/>
        <v>0</v>
      </c>
      <c r="N9" s="37">
        <f t="shared" si="3"/>
        <v>0</v>
      </c>
      <c r="O9" s="37">
        <f t="shared" si="3"/>
        <v>0</v>
      </c>
      <c r="P9" s="37">
        <f>IF($B9="Yes",1,IF($B9="No",0,IF($B9=$E$6,-1,0)))</f>
        <v>0</v>
      </c>
      <c r="Q9" s="37">
        <f t="shared" si="3"/>
        <v>0</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row>
    <row r="10" spans="1:182" ht="12.75">
      <c r="A10" s="45">
        <f>IF(B9="No","If not, how far away is the nearest public water access?","")</f>
      </c>
      <c r="B10" s="92"/>
      <c r="C10" s="1"/>
      <c r="D10" s="28"/>
      <c r="E10" s="26"/>
      <c r="F10" s="31"/>
      <c r="G10" s="31"/>
      <c r="H10" s="37">
        <f>IF($B10=$E$8,-1,IF($B10=$E$9,-2,0))</f>
        <v>0</v>
      </c>
      <c r="I10" s="37">
        <f aca="true" t="shared" si="4" ref="I10:Q10">IF($B10=$E$8,-1,IF($B10=$E$9,-2,0))</f>
        <v>0</v>
      </c>
      <c r="J10" s="37">
        <f t="shared" si="4"/>
        <v>0</v>
      </c>
      <c r="K10" s="37">
        <f t="shared" si="4"/>
        <v>0</v>
      </c>
      <c r="L10" s="37">
        <f t="shared" si="4"/>
        <v>0</v>
      </c>
      <c r="M10" s="37">
        <f t="shared" si="4"/>
        <v>0</v>
      </c>
      <c r="N10" s="37">
        <f t="shared" si="4"/>
        <v>0</v>
      </c>
      <c r="O10" s="37">
        <f t="shared" si="4"/>
        <v>0</v>
      </c>
      <c r="P10" s="37">
        <f>IF($B10=$E$8,-1,IF($B10=$E$9,-1,0))</f>
        <v>0</v>
      </c>
      <c r="Q10" s="37">
        <f t="shared" si="4"/>
        <v>0</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row>
    <row r="11" spans="1:182" ht="12.75">
      <c r="A11" s="45">
        <f>IF(OR(B9="Unavailable in Community",B9="No"),"Is there potable well water onsite?","")</f>
      </c>
      <c r="B11" s="92"/>
      <c r="C11" s="1"/>
      <c r="D11" s="28"/>
      <c r="E11" s="26" t="s">
        <v>182</v>
      </c>
      <c r="F11" s="28"/>
      <c r="G11" s="28"/>
      <c r="H11" s="37">
        <f>IF($B11="Yes",1,IF($B11="No",-1,0))</f>
        <v>0</v>
      </c>
      <c r="I11" s="37">
        <f>IF($B11="Yes",1,IF($B11="No",-1,0))</f>
        <v>0</v>
      </c>
      <c r="J11" s="37">
        <f>IF($B11="Yes",1,IF($B11="No",-1,0))</f>
        <v>0</v>
      </c>
      <c r="K11" s="37">
        <f>IF($B11="Yes",-1,IF($B11="no",-1,0))</f>
        <v>0</v>
      </c>
      <c r="L11" s="37">
        <f>IF($B11="Yes",-1,IF($B11="no",-1,0))</f>
        <v>0</v>
      </c>
      <c r="M11" s="37">
        <f>IF($B11="Yes",1,IF($B11="No",-1,0))</f>
        <v>0</v>
      </c>
      <c r="N11" s="37">
        <f>IF($B11="Yes",1,IF($B11="No",-1,0))</f>
        <v>0</v>
      </c>
      <c r="O11" s="37"/>
      <c r="P11" s="37"/>
      <c r="Q11" s="37">
        <f>IF($B11="Yes",1,IF($B11="No",-1,0))</f>
        <v>0</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row>
    <row r="12" spans="1:182" ht="12.75">
      <c r="A12" s="19"/>
      <c r="C12" s="1"/>
      <c r="D12" s="28"/>
      <c r="E12" s="26" t="s">
        <v>183</v>
      </c>
      <c r="F12" s="28"/>
      <c r="G12" s="28"/>
      <c r="H12" s="37"/>
      <c r="I12" s="37"/>
      <c r="J12" s="37"/>
      <c r="K12" s="37"/>
      <c r="L12" s="37"/>
      <c r="M12" s="37"/>
      <c r="N12" s="37"/>
      <c r="O12" s="37"/>
      <c r="P12" s="37"/>
      <c r="Q12" s="37"/>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row>
    <row r="13" spans="1:182" ht="12.75">
      <c r="A13" s="15" t="s">
        <v>212</v>
      </c>
      <c r="B13" s="119"/>
      <c r="C13" s="1"/>
      <c r="D13" s="28"/>
      <c r="E13" s="26" t="s">
        <v>184</v>
      </c>
      <c r="F13" s="28"/>
      <c r="G13" s="28"/>
      <c r="H13" s="37">
        <f>IF($B13="Yes",1,IF($B13="No",0,IF($B13=$E$6,-2,0)))</f>
        <v>0</v>
      </c>
      <c r="I13" s="37">
        <f aca="true" t="shared" si="5" ref="I13:Q13">IF($B13="Yes",1,IF($B13="No",0,IF($B13=$E$6,-2,0)))</f>
        <v>0</v>
      </c>
      <c r="J13" s="37">
        <f t="shared" si="5"/>
        <v>0</v>
      </c>
      <c r="K13" s="37">
        <f t="shared" si="5"/>
        <v>0</v>
      </c>
      <c r="L13" s="37">
        <f t="shared" si="5"/>
        <v>0</v>
      </c>
      <c r="M13" s="37">
        <f t="shared" si="5"/>
        <v>0</v>
      </c>
      <c r="N13" s="37">
        <f t="shared" si="5"/>
        <v>0</v>
      </c>
      <c r="O13" s="37">
        <f t="shared" si="5"/>
        <v>0</v>
      </c>
      <c r="P13" s="37">
        <f t="shared" si="5"/>
        <v>0</v>
      </c>
      <c r="Q13" s="37">
        <f t="shared" si="5"/>
        <v>0</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row>
    <row r="14" spans="1:182" ht="12.75">
      <c r="A14" s="45">
        <f>IF(B13="No","If not, how far away is the nearest sanitary sewer capacity?","")</f>
      </c>
      <c r="B14" s="92"/>
      <c r="C14" s="1"/>
      <c r="D14" s="28"/>
      <c r="E14" s="26"/>
      <c r="F14" s="28"/>
      <c r="G14" s="28"/>
      <c r="H14" s="37">
        <f>IF($B14=$E$8,-1,IF($B14=$E$9,-2,0))</f>
        <v>0</v>
      </c>
      <c r="I14" s="37">
        <f aca="true" t="shared" si="6" ref="I14:Q14">IF($B14=$E$8,-1,IF($B14=$E$9,-2,0))</f>
        <v>0</v>
      </c>
      <c r="J14" s="37">
        <f t="shared" si="6"/>
        <v>0</v>
      </c>
      <c r="K14" s="37">
        <f t="shared" si="6"/>
        <v>0</v>
      </c>
      <c r="L14" s="37">
        <f t="shared" si="6"/>
        <v>0</v>
      </c>
      <c r="M14" s="37">
        <f t="shared" si="6"/>
        <v>0</v>
      </c>
      <c r="N14" s="37">
        <f t="shared" si="6"/>
        <v>0</v>
      </c>
      <c r="O14" s="37">
        <f t="shared" si="6"/>
        <v>0</v>
      </c>
      <c r="P14" s="37">
        <f t="shared" si="6"/>
        <v>0</v>
      </c>
      <c r="Q14" s="37">
        <f t="shared" si="6"/>
        <v>0</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row>
    <row r="15" spans="1:182" ht="12.75">
      <c r="A15" s="45">
        <f>IF(B13="Unavailable in Community","If sanitary sewer is unavailable in the community, is there an existing sanitary septic system onsite?","")</f>
      </c>
      <c r="B15" s="92"/>
      <c r="C15" s="1"/>
      <c r="D15" s="28"/>
      <c r="E15" s="26" t="s">
        <v>187</v>
      </c>
      <c r="F15" s="28"/>
      <c r="G15" s="28"/>
      <c r="H15" s="37">
        <f>IF($B15="Yes",1,IF($B15="No",-1,0))</f>
        <v>0</v>
      </c>
      <c r="I15" s="37">
        <f>IF($B15="Yes",1,IF($B15="No",-1,0))</f>
        <v>0</v>
      </c>
      <c r="J15" s="37">
        <f>IF($B15="Yes",1,IF($B15="No",-1,0))</f>
        <v>0</v>
      </c>
      <c r="K15" s="37">
        <f>IF($B15="Yes",-1,IF($B15="no",-1,0))</f>
        <v>0</v>
      </c>
      <c r="L15" s="37">
        <f>IF($B15="Yes",-1,IF($B15="no",-1,0))</f>
        <v>0</v>
      </c>
      <c r="M15" s="37">
        <f>IF($B15="Yes",1,IF($B15="No",-1,0))</f>
        <v>0</v>
      </c>
      <c r="N15" s="37">
        <f>IF($B15="Yes",1,IF($B15="No",-1,0))</f>
        <v>0</v>
      </c>
      <c r="O15" s="37"/>
      <c r="P15" s="37"/>
      <c r="Q15" s="37">
        <f>IF($B15="Yes",1,IF($B15="No",-1,0))</f>
        <v>0</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row>
    <row r="16" spans="1:182" ht="12.75">
      <c r="A16" s="19"/>
      <c r="C16" s="1"/>
      <c r="D16" s="28"/>
      <c r="E16" s="34" t="s">
        <v>188</v>
      </c>
      <c r="F16" s="28"/>
      <c r="G16" s="28"/>
      <c r="H16" s="37"/>
      <c r="I16" s="37"/>
      <c r="J16" s="37"/>
      <c r="K16" s="37"/>
      <c r="L16" s="37"/>
      <c r="M16" s="37"/>
      <c r="N16" s="37"/>
      <c r="O16" s="37"/>
      <c r="P16" s="37"/>
      <c r="Q16" s="37"/>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row>
    <row r="17" spans="1:182" ht="12.75">
      <c r="A17" s="130" t="s">
        <v>25</v>
      </c>
      <c r="B17" s="119"/>
      <c r="C17" s="1"/>
      <c r="D17" s="28"/>
      <c r="E17" s="27" t="s">
        <v>214</v>
      </c>
      <c r="F17" s="28"/>
      <c r="G17" s="28"/>
      <c r="H17" s="37">
        <f>IF($B17="Yes",1,0)</f>
        <v>0</v>
      </c>
      <c r="I17" s="37">
        <f aca="true" t="shared" si="7" ref="I17:Q17">IF($B17="Yes",1,0)</f>
        <v>0</v>
      </c>
      <c r="J17" s="37">
        <f t="shared" si="7"/>
        <v>0</v>
      </c>
      <c r="K17" s="37">
        <f t="shared" si="7"/>
        <v>0</v>
      </c>
      <c r="L17" s="37">
        <f t="shared" si="7"/>
        <v>0</v>
      </c>
      <c r="M17" s="37">
        <f t="shared" si="7"/>
        <v>0</v>
      </c>
      <c r="N17" s="37">
        <f t="shared" si="7"/>
        <v>0</v>
      </c>
      <c r="O17" s="37">
        <f t="shared" si="7"/>
        <v>0</v>
      </c>
      <c r="P17" s="37">
        <f t="shared" si="7"/>
        <v>0</v>
      </c>
      <c r="Q17" s="37">
        <f t="shared" si="7"/>
        <v>0</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row>
    <row r="18" spans="1:182" ht="26.25" customHeight="1">
      <c r="A18" s="6">
        <f>IF(B17="No","If not, how far away to nearest cable, fiber optics, T1 or other digital service connection?","")</f>
      </c>
      <c r="B18" s="92"/>
      <c r="C18" s="1"/>
      <c r="D18" s="28"/>
      <c r="E18" s="23"/>
      <c r="F18" s="28"/>
      <c r="G18" s="28"/>
      <c r="H18" s="37">
        <f aca="true" t="shared" si="8" ref="H18:Q18">IF($B18=$E$8,0,IF($B18=$E$9,-1,0))</f>
        <v>0</v>
      </c>
      <c r="I18" s="37">
        <f t="shared" si="8"/>
        <v>0</v>
      </c>
      <c r="J18" s="37">
        <f t="shared" si="8"/>
        <v>0</v>
      </c>
      <c r="K18" s="37">
        <f t="shared" si="8"/>
        <v>0</v>
      </c>
      <c r="L18" s="37">
        <f t="shared" si="8"/>
        <v>0</v>
      </c>
      <c r="M18" s="37">
        <f t="shared" si="8"/>
        <v>0</v>
      </c>
      <c r="N18" s="37">
        <f t="shared" si="8"/>
        <v>0</v>
      </c>
      <c r="O18" s="37">
        <f t="shared" si="8"/>
        <v>0</v>
      </c>
      <c r="P18" s="37">
        <f t="shared" si="8"/>
        <v>0</v>
      </c>
      <c r="Q18" s="37">
        <f t="shared" si="8"/>
        <v>0</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row>
    <row r="19" spans="1:182" ht="12.75">
      <c r="A19" s="1"/>
      <c r="B19" s="3"/>
      <c r="C19" s="1"/>
      <c r="D19" s="28"/>
      <c r="E19" s="23"/>
      <c r="F19" s="28"/>
      <c r="G19" s="28"/>
      <c r="H19" s="37"/>
      <c r="I19" s="37"/>
      <c r="J19" s="37"/>
      <c r="K19" s="37"/>
      <c r="L19" s="37"/>
      <c r="M19" s="37"/>
      <c r="N19" s="37"/>
      <c r="O19" s="37"/>
      <c r="P19" s="37"/>
      <c r="Q19" s="37"/>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row>
    <row r="20" spans="1:182" ht="12.75">
      <c r="A20" s="130" t="s">
        <v>348</v>
      </c>
      <c r="B20" s="110"/>
      <c r="C20" s="15" t="s">
        <v>349</v>
      </c>
      <c r="D20" s="28"/>
      <c r="E20" s="23"/>
      <c r="F20" s="28"/>
      <c r="G20" s="28"/>
      <c r="H20" s="37"/>
      <c r="I20" s="37">
        <f>IF($B20=0,0,IF($B20&lt;8.75,1,IF(AND($B20&gt;8.75,$B20&lt;10.75),0,IF($B20&gt;10.75,-1,0))))</f>
        <v>0</v>
      </c>
      <c r="J20" s="37"/>
      <c r="K20" s="37">
        <f>IF($B20=0,0,IF($B20&lt;8.75,1,IF(AND($B20&gt;8.75,$B20&lt;10.75),0,IF($B20&gt;10.75,-1,0))))</f>
        <v>0</v>
      </c>
      <c r="L20" s="37">
        <f>IF($B20=0,0,IF($B20&lt;8.75,1,IF(AND($B20&gt;8.75,$B20&lt;10.75),0,IF($B20&gt;10.75,-1,0))))</f>
        <v>0</v>
      </c>
      <c r="M20" s="37"/>
      <c r="N20" s="37"/>
      <c r="O20" s="37">
        <f>IF($B20&gt;10.75,1,0)</f>
        <v>0</v>
      </c>
      <c r="P20" s="37"/>
      <c r="Q20" s="37"/>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row>
    <row r="21" spans="4:182" ht="14.25" customHeight="1">
      <c r="D21" s="28"/>
      <c r="E21" s="23"/>
      <c r="F21" s="28"/>
      <c r="H21" s="37"/>
      <c r="I21" s="37"/>
      <c r="J21" s="37"/>
      <c r="K21" s="37"/>
      <c r="L21" s="37"/>
      <c r="M21" s="37"/>
      <c r="N21" s="37"/>
      <c r="O21" s="37"/>
      <c r="P21" s="37"/>
      <c r="Q21" s="37"/>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row>
    <row r="22" spans="1:182" ht="12.75">
      <c r="A22" s="1"/>
      <c r="B22" s="3"/>
      <c r="C22" s="1"/>
      <c r="D22" s="28"/>
      <c r="E22" s="23"/>
      <c r="F22" s="28"/>
      <c r="G22" s="28"/>
      <c r="H22" s="37"/>
      <c r="I22" s="37"/>
      <c r="J22" s="37"/>
      <c r="K22" s="37"/>
      <c r="L22" s="37"/>
      <c r="M22" s="37"/>
      <c r="N22" s="37"/>
      <c r="O22" s="37"/>
      <c r="P22" s="37"/>
      <c r="Q22" s="37"/>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row>
    <row r="23" spans="1:182" ht="12.75">
      <c r="A23" s="8" t="s">
        <v>26</v>
      </c>
      <c r="B23" s="123"/>
      <c r="C23" s="9"/>
      <c r="D23" s="28"/>
      <c r="F23" s="28"/>
      <c r="G23" s="28"/>
      <c r="H23" s="37"/>
      <c r="I23" s="37"/>
      <c r="J23" s="37"/>
      <c r="K23" s="37"/>
      <c r="L23" s="37"/>
      <c r="M23" s="37"/>
      <c r="N23" s="37"/>
      <c r="O23" s="37"/>
      <c r="P23" s="37"/>
      <c r="Q23" s="37"/>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row>
    <row r="24" spans="1:182" ht="12.75">
      <c r="A24" s="1" t="s">
        <v>218</v>
      </c>
      <c r="B24" s="124"/>
      <c r="C24" s="1"/>
      <c r="D24" s="28"/>
      <c r="F24" s="35"/>
      <c r="G24" s="28"/>
      <c r="H24" s="37"/>
      <c r="I24" s="37"/>
      <c r="J24" s="37"/>
      <c r="K24" s="37"/>
      <c r="L24" s="37"/>
      <c r="M24" s="37"/>
      <c r="N24" s="37"/>
      <c r="O24" s="37"/>
      <c r="P24" s="37"/>
      <c r="Q24" s="37"/>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row>
    <row r="25" spans="1:182" ht="12.75">
      <c r="A25" s="1"/>
      <c r="B25" s="3"/>
      <c r="C25" s="1"/>
      <c r="D25" s="28"/>
      <c r="F25" s="28"/>
      <c r="G25" s="28"/>
      <c r="H25" s="37"/>
      <c r="I25" s="37"/>
      <c r="J25" s="37"/>
      <c r="K25" s="37"/>
      <c r="L25" s="37"/>
      <c r="M25" s="37"/>
      <c r="N25" s="37"/>
      <c r="O25" s="37"/>
      <c r="P25" s="37"/>
      <c r="Q25" s="37"/>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row>
    <row r="26" spans="1:182" ht="12.75">
      <c r="A26" s="2" t="s">
        <v>219</v>
      </c>
      <c r="B26" s="3"/>
      <c r="C26" s="1"/>
      <c r="D26" s="28"/>
      <c r="F26" s="28"/>
      <c r="G26" s="28"/>
      <c r="H26" s="37"/>
      <c r="I26" s="37"/>
      <c r="J26" s="37"/>
      <c r="K26" s="37"/>
      <c r="L26" s="37"/>
      <c r="M26" s="37"/>
      <c r="N26" s="37"/>
      <c r="O26" s="37"/>
      <c r="P26" s="37"/>
      <c r="Q26" s="37"/>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row>
    <row r="27" spans="1:182" ht="12.75">
      <c r="A27" s="6" t="s">
        <v>20</v>
      </c>
      <c r="B27" s="119"/>
      <c r="C27" s="1"/>
      <c r="D27" s="28"/>
      <c r="F27" s="28"/>
      <c r="G27" s="28"/>
      <c r="H27" s="37">
        <f>IF($B27="Yes",1,IF($B27="No",-1,0))</f>
        <v>0</v>
      </c>
      <c r="I27" s="37"/>
      <c r="J27" s="37"/>
      <c r="K27" s="37"/>
      <c r="L27" s="37"/>
      <c r="M27" s="37"/>
      <c r="N27" s="37"/>
      <c r="O27" s="37"/>
      <c r="P27" s="37"/>
      <c r="Q27" s="37"/>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row>
    <row r="28" spans="1:182" ht="12.75">
      <c r="A28" s="6" t="s">
        <v>292</v>
      </c>
      <c r="B28" s="119"/>
      <c r="C28" s="1"/>
      <c r="D28" s="28"/>
      <c r="F28" s="28"/>
      <c r="G28" s="28"/>
      <c r="H28" s="37"/>
      <c r="I28" s="37">
        <f>IF($B28="Yes",1,IF($B28="No",-1,0))</f>
        <v>0</v>
      </c>
      <c r="J28" s="37"/>
      <c r="K28" s="37"/>
      <c r="L28" s="37"/>
      <c r="M28" s="37"/>
      <c r="N28" s="37"/>
      <c r="O28" s="37"/>
      <c r="P28" s="37"/>
      <c r="Q28" s="37"/>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row>
    <row r="29" spans="1:182" ht="12.75">
      <c r="A29" s="6" t="s">
        <v>22</v>
      </c>
      <c r="B29" s="119"/>
      <c r="C29" s="1"/>
      <c r="D29" s="28"/>
      <c r="F29" s="28"/>
      <c r="G29" s="28"/>
      <c r="H29" s="37"/>
      <c r="I29" s="37"/>
      <c r="J29" s="37">
        <f>IF($B29="Yes",1,IF($B29="No",-1,0))</f>
        <v>0</v>
      </c>
      <c r="K29" s="37"/>
      <c r="L29" s="37"/>
      <c r="M29" s="37"/>
      <c r="N29" s="37"/>
      <c r="O29" s="37"/>
      <c r="P29" s="37"/>
      <c r="Q29" s="37"/>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row>
    <row r="30" spans="1:182" ht="12.75">
      <c r="A30" s="6" t="s">
        <v>293</v>
      </c>
      <c r="B30" s="119"/>
      <c r="C30" s="1"/>
      <c r="D30" s="28"/>
      <c r="F30" s="28"/>
      <c r="G30" s="28"/>
      <c r="H30" s="37"/>
      <c r="I30" s="37"/>
      <c r="J30" s="37"/>
      <c r="K30" s="37">
        <f>IF($B30="Yes",1,IF($B30="No",-1,0))</f>
        <v>0</v>
      </c>
      <c r="L30" s="37"/>
      <c r="M30" s="37"/>
      <c r="N30" s="37"/>
      <c r="O30" s="37"/>
      <c r="P30" s="37"/>
      <c r="Q30" s="37"/>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row>
    <row r="31" spans="1:182" ht="12.75">
      <c r="A31" s="6" t="s">
        <v>294</v>
      </c>
      <c r="B31" s="119"/>
      <c r="C31" s="6"/>
      <c r="D31" s="28"/>
      <c r="F31" s="28"/>
      <c r="G31" s="28"/>
      <c r="H31" s="37"/>
      <c r="I31" s="37"/>
      <c r="J31" s="37"/>
      <c r="K31" s="37"/>
      <c r="L31" s="37">
        <f>IF($B31="Yes",1,IF($B31="No",-1,0))</f>
        <v>0</v>
      </c>
      <c r="O31" s="37"/>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row>
    <row r="32" spans="1:182" ht="12.75">
      <c r="A32" s="6" t="s">
        <v>162</v>
      </c>
      <c r="B32" s="119"/>
      <c r="C32" s="6"/>
      <c r="D32" s="28"/>
      <c r="F32" s="28"/>
      <c r="G32" s="28"/>
      <c r="H32" s="37"/>
      <c r="I32" s="37"/>
      <c r="J32" s="37"/>
      <c r="K32" s="37"/>
      <c r="L32" s="37"/>
      <c r="M32" s="37">
        <f>IF($B32="Yes",1,IF($B32="No",-1,0))</f>
        <v>0</v>
      </c>
      <c r="N32" s="37"/>
      <c r="O32" s="37"/>
      <c r="P32" s="37"/>
      <c r="Q32" s="37"/>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row>
    <row r="33" spans="1:182" ht="12.75">
      <c r="A33" s="6" t="s">
        <v>23</v>
      </c>
      <c r="B33" s="119"/>
      <c r="C33" s="6"/>
      <c r="D33" s="28"/>
      <c r="E33" s="23"/>
      <c r="F33" s="28"/>
      <c r="G33" s="28"/>
      <c r="H33" s="37"/>
      <c r="I33" s="37"/>
      <c r="J33" s="37"/>
      <c r="K33" s="37"/>
      <c r="M33" s="37"/>
      <c r="N33" s="37">
        <f>IF($B33="Yes",1,IF($B33="No",-1,0))</f>
        <v>0</v>
      </c>
      <c r="O33" s="37"/>
      <c r="P33" s="37"/>
      <c r="Q33" s="37"/>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row>
    <row r="34" spans="1:182" ht="12.75">
      <c r="A34" s="6" t="s">
        <v>220</v>
      </c>
      <c r="B34" s="119"/>
      <c r="C34" s="6"/>
      <c r="D34" s="28"/>
      <c r="E34" s="23"/>
      <c r="F34" s="28"/>
      <c r="G34" s="28"/>
      <c r="H34" s="37"/>
      <c r="I34" s="37"/>
      <c r="J34" s="37"/>
      <c r="K34" s="37"/>
      <c r="M34" s="37"/>
      <c r="N34" s="37"/>
      <c r="O34" s="37">
        <f>IF($B34="Yes",1,IF($B34="No",-1,0))</f>
        <v>0</v>
      </c>
      <c r="P34" s="37"/>
      <c r="Q34" s="37"/>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row>
    <row r="35" spans="1:182" ht="12.75">
      <c r="A35" s="6" t="s">
        <v>156</v>
      </c>
      <c r="B35" s="119"/>
      <c r="C35" s="6"/>
      <c r="D35" s="28"/>
      <c r="E35" s="23"/>
      <c r="F35" s="28"/>
      <c r="G35" s="28"/>
      <c r="H35" s="37"/>
      <c r="I35" s="37"/>
      <c r="J35" s="37"/>
      <c r="K35" s="37"/>
      <c r="M35" s="37"/>
      <c r="N35" s="37"/>
      <c r="O35" s="37"/>
      <c r="P35" s="37">
        <f>IF($B35="Yes",1,IF($B35="No",-1,0))</f>
        <v>0</v>
      </c>
      <c r="Q35" s="37"/>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row>
    <row r="36" spans="1:182" ht="12.75">
      <c r="A36" s="6" t="s">
        <v>165</v>
      </c>
      <c r="B36" s="119"/>
      <c r="C36" s="6"/>
      <c r="D36" s="28"/>
      <c r="E36" s="23"/>
      <c r="F36" s="28"/>
      <c r="G36" s="28"/>
      <c r="H36" s="37"/>
      <c r="I36" s="37"/>
      <c r="J36" s="37"/>
      <c r="K36" s="37"/>
      <c r="M36" s="37"/>
      <c r="N36" s="37"/>
      <c r="O36" s="37"/>
      <c r="P36" s="37"/>
      <c r="Q36" s="37">
        <f>IF($B36="Yes",1,IF($B36="No",-1,0))</f>
        <v>0</v>
      </c>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row>
    <row r="37" spans="2:182" ht="12.75">
      <c r="B37" s="3"/>
      <c r="C37" s="1"/>
      <c r="D37" s="28"/>
      <c r="G37" s="28"/>
      <c r="H37" s="37"/>
      <c r="I37" s="37"/>
      <c r="J37" s="37"/>
      <c r="K37" s="37"/>
      <c r="L37" s="37"/>
      <c r="M37" s="37"/>
      <c r="N37" s="37"/>
      <c r="O37" s="37"/>
      <c r="P37" s="37"/>
      <c r="Q37" s="37"/>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row>
    <row r="38" spans="1:182" ht="25.5">
      <c r="A38" s="42" t="s">
        <v>49</v>
      </c>
      <c r="B38" s="3"/>
      <c r="C38" s="1"/>
      <c r="D38" s="28"/>
      <c r="G38" s="28"/>
      <c r="H38" s="37"/>
      <c r="I38" s="37"/>
      <c r="J38" s="37"/>
      <c r="K38" s="37"/>
      <c r="L38" s="37"/>
      <c r="M38" s="37"/>
      <c r="N38" s="37"/>
      <c r="O38" s="37"/>
      <c r="P38" s="37"/>
      <c r="Q38" s="37"/>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row>
    <row r="39" spans="1:182" ht="12.75">
      <c r="A39" s="6" t="s">
        <v>20</v>
      </c>
      <c r="B39" s="119"/>
      <c r="C39" s="1"/>
      <c r="D39" s="28"/>
      <c r="G39" s="28"/>
      <c r="H39" s="37">
        <f>IF($B39="Yes",1,IF($B39="No",-1,0))</f>
        <v>0</v>
      </c>
      <c r="I39" s="37"/>
      <c r="J39" s="37"/>
      <c r="K39" s="37"/>
      <c r="L39" s="37"/>
      <c r="M39" s="37"/>
      <c r="N39" s="37"/>
      <c r="O39" s="37"/>
      <c r="P39" s="37"/>
      <c r="Q39" s="37"/>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row>
    <row r="40" spans="1:182" ht="12.75">
      <c r="A40" s="6" t="s">
        <v>292</v>
      </c>
      <c r="B40" s="119"/>
      <c r="C40" s="1"/>
      <c r="D40" s="28"/>
      <c r="H40" s="37"/>
      <c r="I40" s="37">
        <f>IF($B40="Yes",1,IF($B40="No",-1,0))</f>
        <v>0</v>
      </c>
      <c r="J40" s="37"/>
      <c r="K40" s="37"/>
      <c r="L40" s="37"/>
      <c r="M40" s="37"/>
      <c r="N40" s="37"/>
      <c r="O40" s="37"/>
      <c r="P40" s="37"/>
      <c r="Q40" s="37"/>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row>
    <row r="41" spans="1:182" ht="12.75">
      <c r="A41" s="6" t="s">
        <v>22</v>
      </c>
      <c r="B41" s="119"/>
      <c r="C41" s="1"/>
      <c r="D41" s="28"/>
      <c r="H41" s="37"/>
      <c r="I41" s="37"/>
      <c r="J41" s="37">
        <f>IF($B41="Yes",1,IF($B41="No",-1,0))</f>
        <v>0</v>
      </c>
      <c r="K41" s="37"/>
      <c r="L41" s="37"/>
      <c r="M41" s="37"/>
      <c r="N41" s="37"/>
      <c r="O41" s="37"/>
      <c r="P41" s="37"/>
      <c r="Q41" s="37"/>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row>
    <row r="42" spans="1:182" ht="12.75">
      <c r="A42" s="6" t="s">
        <v>293</v>
      </c>
      <c r="B42" s="119"/>
      <c r="C42" s="1"/>
      <c r="D42" s="28"/>
      <c r="H42" s="37"/>
      <c r="I42" s="37"/>
      <c r="J42" s="37"/>
      <c r="K42" s="37">
        <f>IF($B42="Yes",1,IF($B42="No",-1,0))</f>
        <v>0</v>
      </c>
      <c r="L42" s="37"/>
      <c r="M42" s="37"/>
      <c r="N42" s="37"/>
      <c r="O42" s="37"/>
      <c r="P42" s="37"/>
      <c r="Q42" s="37"/>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row>
    <row r="43" spans="1:182" ht="12.75">
      <c r="A43" s="6" t="s">
        <v>294</v>
      </c>
      <c r="B43" s="119"/>
      <c r="C43" s="1"/>
      <c r="D43" s="28"/>
      <c r="H43" s="37"/>
      <c r="I43" s="37"/>
      <c r="J43" s="37"/>
      <c r="K43" s="37"/>
      <c r="L43" s="37">
        <f>IF($B43="Yes",1,IF($B43="No",-1,0))</f>
        <v>0</v>
      </c>
      <c r="M43" s="37"/>
      <c r="N43" s="37"/>
      <c r="O43" s="37"/>
      <c r="P43" s="37"/>
      <c r="Q43" s="37"/>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row>
    <row r="44" spans="1:182" ht="12.75">
      <c r="A44" s="6" t="s">
        <v>162</v>
      </c>
      <c r="B44" s="119"/>
      <c r="C44" s="1"/>
      <c r="D44" s="28"/>
      <c r="H44" s="37"/>
      <c r="I44" s="37"/>
      <c r="J44" s="37"/>
      <c r="K44" s="37"/>
      <c r="L44" s="37"/>
      <c r="M44" s="37">
        <f>IF($B44="Yes",1,IF($B44="No",-1,0))</f>
        <v>0</v>
      </c>
      <c r="N44" s="37"/>
      <c r="O44" s="37"/>
      <c r="P44" s="37"/>
      <c r="Q44" s="37"/>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row>
    <row r="45" spans="1:182" ht="12.75">
      <c r="A45" s="6" t="s">
        <v>23</v>
      </c>
      <c r="B45" s="119"/>
      <c r="C45" s="1"/>
      <c r="D45" s="28"/>
      <c r="H45" s="37"/>
      <c r="I45" s="37"/>
      <c r="J45" s="37"/>
      <c r="K45" s="37"/>
      <c r="L45" s="37"/>
      <c r="M45" s="37"/>
      <c r="N45" s="37">
        <f>IF($B45="Yes",1,IF($B45="No",-1,0))</f>
        <v>0</v>
      </c>
      <c r="O45" s="37"/>
      <c r="P45" s="37"/>
      <c r="Q45" s="37"/>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row>
    <row r="46" spans="1:182" ht="12.75">
      <c r="A46" s="6" t="s">
        <v>220</v>
      </c>
      <c r="B46" s="119"/>
      <c r="C46" s="1"/>
      <c r="D46" s="28"/>
      <c r="H46" s="37"/>
      <c r="I46" s="37"/>
      <c r="J46" s="37"/>
      <c r="K46" s="37"/>
      <c r="L46" s="37"/>
      <c r="M46" s="37"/>
      <c r="N46" s="37"/>
      <c r="O46" s="37">
        <f>IF($B46="Yes",1,IF($B46="No",-1,0))</f>
        <v>0</v>
      </c>
      <c r="P46" s="37"/>
      <c r="Q46" s="37"/>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row>
    <row r="47" spans="1:182" ht="12.75">
      <c r="A47" s="6" t="s">
        <v>156</v>
      </c>
      <c r="B47" s="119"/>
      <c r="C47" s="1"/>
      <c r="D47" s="28"/>
      <c r="H47" s="37"/>
      <c r="I47" s="37"/>
      <c r="J47" s="37"/>
      <c r="K47" s="37"/>
      <c r="L47" s="37"/>
      <c r="M47" s="37"/>
      <c r="N47" s="37"/>
      <c r="O47" s="37"/>
      <c r="P47" s="37">
        <f>IF($B47="Yes",1,IF($B47="No",-1,0))</f>
        <v>0</v>
      </c>
      <c r="Q47" s="37"/>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row>
    <row r="48" spans="1:182" ht="12.75">
      <c r="A48" s="6" t="s">
        <v>165</v>
      </c>
      <c r="B48" s="119"/>
      <c r="C48" s="1"/>
      <c r="D48" s="28"/>
      <c r="H48" s="37"/>
      <c r="I48" s="37"/>
      <c r="J48" s="37"/>
      <c r="K48" s="37"/>
      <c r="L48" s="37"/>
      <c r="M48" s="37"/>
      <c r="N48" s="37"/>
      <c r="O48" s="37"/>
      <c r="P48" s="37"/>
      <c r="Q48" s="37">
        <f>IF($B48="Yes",1,IF($B48="No",-1,0))</f>
        <v>0</v>
      </c>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row>
    <row r="49" spans="3:182" ht="12.75">
      <c r="C49" s="1"/>
      <c r="D49" s="28"/>
      <c r="H49" s="37"/>
      <c r="I49" s="37"/>
      <c r="J49" s="37"/>
      <c r="K49" s="37"/>
      <c r="L49" s="37"/>
      <c r="M49" s="37"/>
      <c r="N49" s="37"/>
      <c r="O49" s="37"/>
      <c r="P49" s="37"/>
      <c r="Q49" s="37"/>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row>
    <row r="50" spans="1:182" ht="33.75" customHeight="1">
      <c r="A50" s="42" t="s">
        <v>402</v>
      </c>
      <c r="B50" s="3"/>
      <c r="C50" s="1"/>
      <c r="D50" s="28"/>
      <c r="H50" s="37"/>
      <c r="I50" s="37"/>
      <c r="J50" s="37"/>
      <c r="K50" s="37"/>
      <c r="L50" s="37"/>
      <c r="M50" s="37"/>
      <c r="N50" s="37"/>
      <c r="O50" s="37"/>
      <c r="P50" s="37"/>
      <c r="Q50" s="37"/>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row>
    <row r="51" spans="1:182" ht="12.75">
      <c r="A51" s="6" t="s">
        <v>20</v>
      </c>
      <c r="B51" s="119"/>
      <c r="C51" s="249">
        <f>IF(AND(B51="Yes",D51=0),"Provide rationale:",IF(AND(B51="yes",D51&lt;&gt;""),"Rationale:",""))</f>
      </c>
      <c r="D51" s="294"/>
      <c r="H51" s="37">
        <f>IF($B51="Yes",999,0)</f>
        <v>0</v>
      </c>
      <c r="I51" s="37"/>
      <c r="J51" s="37"/>
      <c r="K51" s="37"/>
      <c r="L51" s="37"/>
      <c r="M51" s="37"/>
      <c r="N51" s="37"/>
      <c r="O51" s="37"/>
      <c r="P51" s="37"/>
      <c r="Q51" s="37"/>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row>
    <row r="52" spans="1:182" ht="12.75">
      <c r="A52" s="6" t="s">
        <v>292</v>
      </c>
      <c r="B52" s="119"/>
      <c r="C52" s="249">
        <f aca="true" t="shared" si="9" ref="C52:C60">IF(AND(B52="Yes",D52=0),"Provide rationale:",IF(AND(B52="yes",D52&lt;&gt;""),"Rationale:",""))</f>
      </c>
      <c r="D52" s="294"/>
      <c r="H52" s="37"/>
      <c r="I52" s="37">
        <f>IF($B52="Yes",999,0)</f>
        <v>0</v>
      </c>
      <c r="J52" s="37"/>
      <c r="K52" s="37"/>
      <c r="L52" s="37"/>
      <c r="M52" s="37"/>
      <c r="N52" s="37"/>
      <c r="O52" s="37"/>
      <c r="P52" s="37"/>
      <c r="Q52" s="37"/>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row>
    <row r="53" spans="1:182" ht="12.75">
      <c r="A53" s="6" t="s">
        <v>22</v>
      </c>
      <c r="B53" s="119"/>
      <c r="C53" s="249">
        <f t="shared" si="9"/>
      </c>
      <c r="D53" s="294"/>
      <c r="H53" s="37"/>
      <c r="I53" s="37"/>
      <c r="J53" s="37">
        <f>IF($B53="Yes",999,0)</f>
        <v>0</v>
      </c>
      <c r="K53" s="37"/>
      <c r="L53" s="37"/>
      <c r="M53" s="37"/>
      <c r="N53" s="37"/>
      <c r="O53" s="37"/>
      <c r="P53" s="37"/>
      <c r="Q53" s="37"/>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row>
    <row r="54" spans="1:182" ht="12.75">
      <c r="A54" s="6" t="s">
        <v>293</v>
      </c>
      <c r="B54" s="119"/>
      <c r="C54" s="249">
        <f t="shared" si="9"/>
      </c>
      <c r="D54" s="294"/>
      <c r="H54" s="37"/>
      <c r="I54" s="37"/>
      <c r="J54" s="37"/>
      <c r="K54" s="37">
        <f>IF($B54="Yes",999,0)</f>
        <v>0</v>
      </c>
      <c r="L54" s="37"/>
      <c r="M54" s="37"/>
      <c r="N54" s="37"/>
      <c r="O54" s="37"/>
      <c r="P54" s="37"/>
      <c r="Q54" s="37"/>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row>
    <row r="55" spans="1:182" ht="12.75">
      <c r="A55" s="6" t="s">
        <v>294</v>
      </c>
      <c r="B55" s="119"/>
      <c r="C55" s="249">
        <f t="shared" si="9"/>
      </c>
      <c r="D55" s="294"/>
      <c r="H55" s="37"/>
      <c r="I55" s="37"/>
      <c r="J55" s="37"/>
      <c r="K55" s="37"/>
      <c r="L55" s="37">
        <f>IF($B55="Yes",999,0)</f>
        <v>0</v>
      </c>
      <c r="M55" s="37"/>
      <c r="N55" s="37"/>
      <c r="O55" s="37"/>
      <c r="P55" s="37"/>
      <c r="Q55" s="37"/>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row>
    <row r="56" spans="1:182" ht="12.75">
      <c r="A56" s="6" t="s">
        <v>162</v>
      </c>
      <c r="B56" s="119"/>
      <c r="C56" s="249">
        <f t="shared" si="9"/>
      </c>
      <c r="D56" s="294"/>
      <c r="H56" s="37"/>
      <c r="I56" s="37"/>
      <c r="J56" s="37"/>
      <c r="K56" s="37"/>
      <c r="L56" s="37"/>
      <c r="M56" s="37">
        <f>IF($B56="Yes",999,0)</f>
        <v>0</v>
      </c>
      <c r="N56" s="37"/>
      <c r="O56" s="37"/>
      <c r="P56" s="37"/>
      <c r="Q56" s="37"/>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row>
    <row r="57" spans="1:182" ht="12.75">
      <c r="A57" s="6" t="s">
        <v>23</v>
      </c>
      <c r="B57" s="119"/>
      <c r="C57" s="249">
        <f t="shared" si="9"/>
      </c>
      <c r="D57" s="294"/>
      <c r="H57" s="37"/>
      <c r="I57" s="37"/>
      <c r="J57" s="37"/>
      <c r="K57" s="37"/>
      <c r="L57" s="37"/>
      <c r="M57" s="37"/>
      <c r="N57" s="37">
        <f>IF($B57="Yes",999,0)</f>
        <v>0</v>
      </c>
      <c r="O57" s="37"/>
      <c r="P57" s="37"/>
      <c r="Q57" s="37"/>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row>
    <row r="58" spans="1:182" ht="12.75">
      <c r="A58" s="6" t="s">
        <v>220</v>
      </c>
      <c r="B58" s="119"/>
      <c r="C58" s="249">
        <f t="shared" si="9"/>
      </c>
      <c r="D58" s="294"/>
      <c r="H58" s="37"/>
      <c r="I58" s="37"/>
      <c r="J58" s="37"/>
      <c r="K58" s="37"/>
      <c r="L58" s="37"/>
      <c r="M58" s="37"/>
      <c r="N58" s="37"/>
      <c r="O58" s="37">
        <f>IF($B58="Yes",999,0)</f>
        <v>0</v>
      </c>
      <c r="P58" s="37"/>
      <c r="Q58" s="37"/>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row>
    <row r="59" spans="1:182" ht="12.75">
      <c r="A59" s="6" t="s">
        <v>156</v>
      </c>
      <c r="B59" s="119"/>
      <c r="C59" s="249">
        <f t="shared" si="9"/>
      </c>
      <c r="D59" s="294"/>
      <c r="H59" s="37"/>
      <c r="I59" s="37"/>
      <c r="J59" s="37"/>
      <c r="K59" s="37"/>
      <c r="L59" s="37"/>
      <c r="M59" s="37"/>
      <c r="N59" s="37"/>
      <c r="O59" s="37"/>
      <c r="P59" s="37">
        <f>IF($B59="Yes",999,0)</f>
        <v>0</v>
      </c>
      <c r="Q59" s="37"/>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row>
    <row r="60" spans="1:182" ht="12.75">
      <c r="A60" s="6" t="s">
        <v>165</v>
      </c>
      <c r="B60" s="119"/>
      <c r="C60" s="249">
        <f t="shared" si="9"/>
      </c>
      <c r="D60" s="294"/>
      <c r="H60" s="37"/>
      <c r="I60" s="37"/>
      <c r="J60" s="37"/>
      <c r="K60" s="37"/>
      <c r="L60" s="37"/>
      <c r="M60" s="37"/>
      <c r="N60" s="37"/>
      <c r="O60" s="37"/>
      <c r="P60" s="37"/>
      <c r="Q60" s="37">
        <f>IF($B60="Yes",999,0)</f>
        <v>0</v>
      </c>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row>
    <row r="61" spans="3:182" ht="12.75">
      <c r="C61" s="1"/>
      <c r="D61" s="28"/>
      <c r="H61" s="37"/>
      <c r="I61" s="37"/>
      <c r="J61" s="37"/>
      <c r="K61" s="37"/>
      <c r="L61" s="37"/>
      <c r="M61" s="37"/>
      <c r="N61" s="37"/>
      <c r="O61" s="37"/>
      <c r="P61" s="37"/>
      <c r="Q61" s="37"/>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row>
    <row r="62" spans="1:182" ht="12.75">
      <c r="A62" s="16" t="s">
        <v>452</v>
      </c>
      <c r="B62" s="125"/>
      <c r="C62" s="250">
        <f>IF(B62=1,"Maximum allowable lot coverage of 100% is unusual. Recheck data entry.","")</f>
      </c>
      <c r="D62" s="28"/>
      <c r="H62" s="37"/>
      <c r="I62" s="20"/>
      <c r="J62" s="20"/>
      <c r="K62" s="37"/>
      <c r="L62" s="37"/>
      <c r="M62" s="37"/>
      <c r="N62" s="37"/>
      <c r="O62" s="37"/>
      <c r="P62" s="37"/>
      <c r="Q62" s="37"/>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row>
    <row r="63" spans="1:182" ht="12.75">
      <c r="A63" s="16"/>
      <c r="B63" s="32"/>
      <c r="C63" s="1"/>
      <c r="D63" s="28"/>
      <c r="E63" s="15"/>
      <c r="H63" s="37"/>
      <c r="I63" s="20"/>
      <c r="J63" s="20"/>
      <c r="K63" s="37"/>
      <c r="L63" s="37"/>
      <c r="M63" s="37"/>
      <c r="N63" s="37"/>
      <c r="O63" s="37"/>
      <c r="P63" s="37"/>
      <c r="Q63" s="37"/>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row>
    <row r="64" spans="1:182" ht="12.75">
      <c r="A64" s="16" t="s">
        <v>453</v>
      </c>
      <c r="B64" s="126"/>
      <c r="C64" s="1"/>
      <c r="D64" s="28"/>
      <c r="E64" s="15"/>
      <c r="H64" s="37"/>
      <c r="I64" s="20"/>
      <c r="J64" s="20"/>
      <c r="K64" s="37"/>
      <c r="L64" s="37"/>
      <c r="M64" s="37"/>
      <c r="N64" s="37"/>
      <c r="O64" s="37"/>
      <c r="P64" s="37"/>
      <c r="Q64" s="37"/>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row>
    <row r="65" spans="1:182" ht="12.75">
      <c r="A65" s="16" t="s">
        <v>454</v>
      </c>
      <c r="B65" s="127"/>
      <c r="C65" s="1" t="s">
        <v>181</v>
      </c>
      <c r="D65" s="28"/>
      <c r="E65" s="15"/>
      <c r="H65" s="37"/>
      <c r="I65" s="20"/>
      <c r="J65" s="20"/>
      <c r="K65" s="37"/>
      <c r="L65" s="37"/>
      <c r="M65" s="37"/>
      <c r="N65" s="37"/>
      <c r="O65" s="37"/>
      <c r="P65" s="37"/>
      <c r="Q65" s="37"/>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row>
    <row r="66" spans="1:182" ht="12.75">
      <c r="A66" s="129"/>
      <c r="C66" s="1"/>
      <c r="D66" s="28"/>
      <c r="E66" s="15"/>
      <c r="H66" s="37"/>
      <c r="I66" s="20"/>
      <c r="J66" s="20"/>
      <c r="K66" s="37"/>
      <c r="L66" s="37"/>
      <c r="M66" s="37"/>
      <c r="N66" s="37"/>
      <c r="O66" s="37"/>
      <c r="P66" s="37"/>
      <c r="Q66" s="37"/>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row>
    <row r="67" spans="1:182" ht="25.5">
      <c r="A67" s="16" t="s">
        <v>455</v>
      </c>
      <c r="B67" s="127"/>
      <c r="C67" s="1"/>
      <c r="D67" s="28"/>
      <c r="E67" s="15"/>
      <c r="H67" s="37"/>
      <c r="I67" s="20"/>
      <c r="J67" s="20"/>
      <c r="K67" s="37"/>
      <c r="L67" s="37"/>
      <c r="M67" s="37"/>
      <c r="N67" s="37"/>
      <c r="O67" s="37"/>
      <c r="P67" s="37"/>
      <c r="Q67" s="37"/>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row>
    <row r="68" spans="1:182" ht="12.75">
      <c r="A68" s="6"/>
      <c r="B68" s="3"/>
      <c r="C68" s="1"/>
      <c r="D68" s="28"/>
      <c r="E68" s="15"/>
      <c r="H68" s="37"/>
      <c r="I68" s="37"/>
      <c r="J68" s="37"/>
      <c r="K68" s="37"/>
      <c r="L68" s="37"/>
      <c r="M68" s="37"/>
      <c r="N68" s="37"/>
      <c r="O68" s="37"/>
      <c r="P68" s="37"/>
      <c r="Q68" s="37"/>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row>
    <row r="69" spans="1:182" ht="12.75">
      <c r="A69" s="8" t="s">
        <v>31</v>
      </c>
      <c r="B69" s="123"/>
      <c r="C69" s="9"/>
      <c r="D69" s="28"/>
      <c r="H69" s="37"/>
      <c r="I69" s="37"/>
      <c r="J69" s="37"/>
      <c r="K69" s="37"/>
      <c r="L69" s="37"/>
      <c r="M69" s="37"/>
      <c r="N69" s="37"/>
      <c r="O69" s="37"/>
      <c r="P69" s="37"/>
      <c r="Q69" s="37"/>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row>
    <row r="70" spans="1:182" ht="12.75">
      <c r="A70" s="1" t="s">
        <v>32</v>
      </c>
      <c r="B70" s="119"/>
      <c r="C70" s="1"/>
      <c r="D70" s="28"/>
      <c r="H70" s="20"/>
      <c r="I70" s="37">
        <f>IF($B70="No",-1,0)</f>
        <v>0</v>
      </c>
      <c r="J70" s="37"/>
      <c r="K70" s="37">
        <f>IF($B70="No",-1,0)</f>
        <v>0</v>
      </c>
      <c r="L70" s="37">
        <f>IF($B70="No",-1,0)</f>
        <v>0</v>
      </c>
      <c r="M70" s="37">
        <f>IF($B70="No",-1,0)</f>
        <v>0</v>
      </c>
      <c r="N70" s="37"/>
      <c r="O70" s="37"/>
      <c r="P70" s="37"/>
      <c r="Q70" s="37"/>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row>
    <row r="71" spans="1:182" ht="12.75">
      <c r="A71" s="1"/>
      <c r="B71" s="3"/>
      <c r="C71" s="1"/>
      <c r="D71" s="28"/>
      <c r="H71" s="37"/>
      <c r="I71" s="37"/>
      <c r="J71" s="37"/>
      <c r="K71" s="37"/>
      <c r="L71" s="37"/>
      <c r="M71" s="37"/>
      <c r="N71" s="37"/>
      <c r="O71" s="37"/>
      <c r="P71" s="37"/>
      <c r="Q71" s="37"/>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row>
    <row r="72" spans="1:182" ht="12.75">
      <c r="A72" s="1" t="s">
        <v>33</v>
      </c>
      <c r="B72" s="128"/>
      <c r="C72" s="1"/>
      <c r="D72" s="28"/>
      <c r="H72" s="37">
        <f>IF($B72="Extremely high",-1,0)</f>
        <v>0</v>
      </c>
      <c r="I72" s="37">
        <f>IF($B72="Low",-1,IF($B72="Extremely high",1,0))</f>
        <v>0</v>
      </c>
      <c r="J72" s="37">
        <f>IF($B72="Low",-1,IF($B72="Extremely high",1,0))</f>
        <v>0</v>
      </c>
      <c r="K72" s="37">
        <f>IF($B72="Low",-1,IF($B72="Extremely high",1,0))</f>
        <v>0</v>
      </c>
      <c r="L72" s="37">
        <f>IF($B72="Low",999,IF($B72="Extremely high",1,0))</f>
        <v>0</v>
      </c>
      <c r="M72" s="37">
        <f>IF($B72="Low",-1,0)</f>
        <v>0</v>
      </c>
      <c r="N72" s="37">
        <f>IF($B72="Low",-1,IF($B72="Extremely high",1,0))</f>
        <v>0</v>
      </c>
      <c r="O72" s="37"/>
      <c r="P72" s="37"/>
      <c r="Q72" s="37"/>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row>
    <row r="73" spans="1:182" ht="12.75">
      <c r="A73" s="1"/>
      <c r="B73" s="3"/>
      <c r="C73" s="1"/>
      <c r="D73" s="28"/>
      <c r="H73" s="37"/>
      <c r="I73" s="37"/>
      <c r="J73" s="37"/>
      <c r="K73" s="37"/>
      <c r="L73" s="37"/>
      <c r="M73" s="37"/>
      <c r="N73" s="37"/>
      <c r="O73" s="37"/>
      <c r="P73" s="37"/>
      <c r="Q73" s="37"/>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row>
    <row r="74" spans="1:182" ht="12.75">
      <c r="A74" s="1" t="s">
        <v>185</v>
      </c>
      <c r="B74" s="122"/>
      <c r="C74" s="1"/>
      <c r="D74" s="28"/>
      <c r="H74" s="37">
        <f>IF($B74&gt;20000,-1,0)</f>
        <v>0</v>
      </c>
      <c r="I74" s="37"/>
      <c r="J74" s="37">
        <f>IF(AND($B74&lt;1000,$B74&gt;0),999,IF(AND($B74&lt;10000,$B74&gt;0),-1,0))</f>
        <v>0</v>
      </c>
      <c r="K74" s="37"/>
      <c r="L74" s="37"/>
      <c r="M74" s="37">
        <f>IF(AND($B74&lt;10000,$B74&gt;0),-1,0)</f>
        <v>0</v>
      </c>
      <c r="N74" s="37"/>
      <c r="O74" s="37"/>
      <c r="P74" s="37"/>
      <c r="Q74" s="37"/>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row>
    <row r="75" spans="1:182" ht="12.75">
      <c r="A75" s="1"/>
      <c r="B75" s="3"/>
      <c r="C75" s="1"/>
      <c r="D75" s="28"/>
      <c r="H75" s="37"/>
      <c r="I75" s="37"/>
      <c r="J75" s="37"/>
      <c r="K75" s="37"/>
      <c r="L75" s="37"/>
      <c r="M75" s="37"/>
      <c r="N75" s="37"/>
      <c r="O75" s="37"/>
      <c r="P75" s="37"/>
      <c r="Q75" s="37"/>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row>
    <row r="76" spans="1:182" ht="12.75">
      <c r="A76" s="1" t="s">
        <v>186</v>
      </c>
      <c r="B76" s="122"/>
      <c r="C76" s="1"/>
      <c r="D76" s="28"/>
      <c r="H76" s="37"/>
      <c r="I76" s="37"/>
      <c r="J76" s="37"/>
      <c r="K76" s="37"/>
      <c r="L76" s="37"/>
      <c r="M76" s="37"/>
      <c r="N76" s="37"/>
      <c r="O76" s="37"/>
      <c r="P76" s="37"/>
      <c r="Q76" s="37"/>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row>
    <row r="77" spans="1:182" ht="12.75">
      <c r="A77" s="1"/>
      <c r="B77" s="3"/>
      <c r="C77" s="1"/>
      <c r="D77" s="28"/>
      <c r="H77" s="37"/>
      <c r="I77" s="37"/>
      <c r="J77" s="37"/>
      <c r="K77" s="37"/>
      <c r="L77" s="37"/>
      <c r="M77" s="37"/>
      <c r="N77" s="37"/>
      <c r="O77" s="37"/>
      <c r="P77" s="37"/>
      <c r="Q77" s="37"/>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row>
    <row r="78" spans="1:182" ht="12.75">
      <c r="A78" s="1" t="s">
        <v>50</v>
      </c>
      <c r="B78" s="3"/>
      <c r="C78" s="1"/>
      <c r="D78" s="28"/>
      <c r="H78" s="37"/>
      <c r="I78" s="37"/>
      <c r="J78" s="37"/>
      <c r="K78" s="37"/>
      <c r="L78" s="37"/>
      <c r="M78" s="37"/>
      <c r="N78" s="37"/>
      <c r="O78" s="37"/>
      <c r="P78" s="37"/>
      <c r="Q78" s="37"/>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row>
    <row r="79" spans="1:182" ht="12.75">
      <c r="A79" s="6" t="s">
        <v>20</v>
      </c>
      <c r="B79" s="119"/>
      <c r="C79" s="1"/>
      <c r="D79" s="28"/>
      <c r="H79" s="37">
        <f>IF($B79="Yes",1,0)</f>
        <v>0</v>
      </c>
      <c r="I79" s="37">
        <f>IF($B79="Yes",-1,0)</f>
        <v>0</v>
      </c>
      <c r="J79" s="37"/>
      <c r="K79" s="37">
        <f>IF($B79="Yes",-1,0)</f>
        <v>0</v>
      </c>
      <c r="L79" s="37">
        <f>IF($B79="Yes",-1,0)</f>
        <v>0</v>
      </c>
      <c r="M79" s="37"/>
      <c r="N79" s="37"/>
      <c r="O79" s="37">
        <f>IF($B79="Yes",-1,0)</f>
        <v>0</v>
      </c>
      <c r="P79" s="37"/>
      <c r="Q79" s="37"/>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row>
    <row r="80" spans="1:182" ht="12.75">
      <c r="A80" s="6" t="s">
        <v>163</v>
      </c>
      <c r="B80" s="119"/>
      <c r="C80" s="1"/>
      <c r="D80" s="28"/>
      <c r="H80" s="37"/>
      <c r="I80" s="37"/>
      <c r="J80" s="37"/>
      <c r="K80" s="37"/>
      <c r="L80" s="37"/>
      <c r="M80" s="37"/>
      <c r="N80" s="37">
        <f>IF($B80="Yes",1,0)</f>
        <v>0</v>
      </c>
      <c r="O80" s="37"/>
      <c r="P80" s="37"/>
      <c r="Q80" s="37"/>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row>
    <row r="81" spans="1:182" ht="12.75">
      <c r="A81" s="6" t="s">
        <v>0</v>
      </c>
      <c r="B81" s="119"/>
      <c r="C81" s="1"/>
      <c r="D81" s="28"/>
      <c r="H81" s="37">
        <f>IF($B81="Yes",-1,0)</f>
        <v>0</v>
      </c>
      <c r="I81" s="37"/>
      <c r="J81" s="37"/>
      <c r="K81" s="37">
        <f>IF($B81="Yes",1,0)</f>
        <v>0</v>
      </c>
      <c r="L81" s="37">
        <f>IF($B81="Yes",1,0)</f>
        <v>0</v>
      </c>
      <c r="M81" s="37"/>
      <c r="N81" s="37">
        <f>IF($B81="Yes",-1,0)</f>
        <v>0</v>
      </c>
      <c r="O81" s="37">
        <f>IF($B81="Yes",1,0)</f>
        <v>0</v>
      </c>
      <c r="P81" s="37"/>
      <c r="Q81" s="37"/>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row>
    <row r="82" spans="1:182" ht="12.75">
      <c r="A82" s="6" t="s">
        <v>23</v>
      </c>
      <c r="B82" s="119"/>
      <c r="C82" s="1"/>
      <c r="D82" s="28"/>
      <c r="H82" s="37"/>
      <c r="I82" s="37"/>
      <c r="J82" s="37"/>
      <c r="K82" s="37"/>
      <c r="L82" s="37"/>
      <c r="M82" s="37">
        <f>IF($B82="Yes",1,0)</f>
        <v>0</v>
      </c>
      <c r="N82" s="37"/>
      <c r="O82" s="37"/>
      <c r="P82" s="37"/>
      <c r="Q82" s="37"/>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row>
    <row r="83" spans="1:182" ht="12.75">
      <c r="A83" s="1"/>
      <c r="B83" s="3"/>
      <c r="C83" s="1"/>
      <c r="D83" s="28"/>
      <c r="H83" s="37"/>
      <c r="I83" s="37"/>
      <c r="J83" s="37"/>
      <c r="K83" s="37"/>
      <c r="L83" s="37"/>
      <c r="M83" s="37"/>
      <c r="N83" s="37"/>
      <c r="O83" s="37"/>
      <c r="P83" s="37"/>
      <c r="Q83" s="37"/>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row>
    <row r="84" spans="1:182" ht="12.75">
      <c r="A84" s="8" t="s">
        <v>34</v>
      </c>
      <c r="B84" s="123"/>
      <c r="C84" s="9"/>
      <c r="D84" s="28"/>
      <c r="H84" s="37"/>
      <c r="I84" s="37"/>
      <c r="J84" s="37"/>
      <c r="K84" s="37"/>
      <c r="L84" s="37"/>
      <c r="M84" s="37"/>
      <c r="N84" s="37"/>
      <c r="O84" s="37"/>
      <c r="P84" s="37"/>
      <c r="Q84" s="37"/>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row>
    <row r="85" spans="1:182" ht="12.75">
      <c r="A85" s="16" t="s">
        <v>35</v>
      </c>
      <c r="B85" s="119"/>
      <c r="C85" s="1"/>
      <c r="D85" s="28"/>
      <c r="H85" s="37"/>
      <c r="I85" s="37"/>
      <c r="J85" s="37">
        <f>IF($B85="No",-1,0)</f>
        <v>0</v>
      </c>
      <c r="K85" s="37">
        <f>IF($B85="Yes",-1,0)</f>
        <v>0</v>
      </c>
      <c r="L85" s="37">
        <f>IF($B85="Yes",-1,0)</f>
        <v>0</v>
      </c>
      <c r="M85" s="37">
        <f>IF($B85="No",-1,0)</f>
        <v>0</v>
      </c>
      <c r="N85" s="37">
        <f>IF($B85="No",-1,IF($B85="Yes",1,0))</f>
        <v>0</v>
      </c>
      <c r="O85" s="37">
        <f>IF($B85="Yes",-1,0)</f>
        <v>0</v>
      </c>
      <c r="P85" s="37"/>
      <c r="Q85" s="37"/>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row>
    <row r="86" ht="12.75">
      <c r="A86" s="129"/>
    </row>
    <row r="87" spans="1:182" ht="12.75">
      <c r="A87" s="16" t="s">
        <v>36</v>
      </c>
      <c r="B87" s="119"/>
      <c r="C87" s="1"/>
      <c r="D87" s="28"/>
      <c r="H87" s="37">
        <f>IF($B87="Yes",-1,0)</f>
        <v>0</v>
      </c>
      <c r="I87" s="37">
        <f>IF($B87="Yes",1,0)</f>
        <v>0</v>
      </c>
      <c r="J87" s="37">
        <f>IF($B87="Yes",1,0)</f>
        <v>0</v>
      </c>
      <c r="K87" s="37"/>
      <c r="L87" s="37"/>
      <c r="M87" s="37"/>
      <c r="N87" s="37">
        <f>IF($B87="Yes",1,0)</f>
        <v>0</v>
      </c>
      <c r="O87" s="37"/>
      <c r="P87" s="37">
        <f>IF($B87="Yes",-1,0)</f>
        <v>0</v>
      </c>
      <c r="Q87" s="37"/>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row>
    <row r="88" spans="1:182" ht="12.75">
      <c r="A88" s="16" t="s">
        <v>37</v>
      </c>
      <c r="B88" s="119"/>
      <c r="C88" s="1"/>
      <c r="D88" s="28"/>
      <c r="H88" s="37">
        <f>IF($B88="Yes",-1,0)</f>
        <v>0</v>
      </c>
      <c r="I88" s="37">
        <f>IF($B88="Yes",1,0)</f>
        <v>0</v>
      </c>
      <c r="J88" s="37">
        <f>IF($B88="Yes",1,0)</f>
        <v>0</v>
      </c>
      <c r="K88" s="37"/>
      <c r="L88" s="37"/>
      <c r="M88" s="37"/>
      <c r="N88" s="37">
        <f>IF($B88="Yes",1,0)</f>
        <v>0</v>
      </c>
      <c r="O88" s="37"/>
      <c r="P88" s="37">
        <f>IF($B88="Yes",-1,0)</f>
        <v>0</v>
      </c>
      <c r="Q88" s="37"/>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row>
    <row r="89" spans="1:182" ht="12.75">
      <c r="A89" s="16" t="s">
        <v>38</v>
      </c>
      <c r="B89" s="119"/>
      <c r="C89" s="1"/>
      <c r="D89" s="28"/>
      <c r="H89" s="37">
        <f>IF($B89=$E$15,-1,0)</f>
        <v>0</v>
      </c>
      <c r="I89" s="37">
        <f>IF($B89=$E$16,1,0)</f>
        <v>0</v>
      </c>
      <c r="J89" s="37"/>
      <c r="K89" s="37"/>
      <c r="L89" s="37">
        <f>IF($B89=$E$17,999,0)</f>
        <v>0</v>
      </c>
      <c r="M89" s="37"/>
      <c r="N89" s="37"/>
      <c r="O89" s="37"/>
      <c r="P89" s="37"/>
      <c r="Q89" s="37"/>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row>
    <row r="90" spans="1:182" ht="12.75">
      <c r="A90" s="16" t="s">
        <v>39</v>
      </c>
      <c r="B90" s="119"/>
      <c r="C90" s="1"/>
      <c r="D90" s="28"/>
      <c r="H90" s="37"/>
      <c r="I90" s="37">
        <f>IF($B90="Yes",1,0)</f>
        <v>0</v>
      </c>
      <c r="J90" s="37">
        <f>IF($B90="Yes",1,IF($B90="No",-1,0))</f>
        <v>0</v>
      </c>
      <c r="K90" s="37"/>
      <c r="L90" s="37"/>
      <c r="M90" s="37"/>
      <c r="N90" s="37"/>
      <c r="O90" s="37"/>
      <c r="P90" s="37"/>
      <c r="Q90" s="37"/>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row>
    <row r="91" ht="12.75">
      <c r="A91" s="129"/>
    </row>
    <row r="92" spans="1:182" ht="12.75">
      <c r="A92" s="16" t="s">
        <v>40</v>
      </c>
      <c r="B92" s="119"/>
      <c r="C92" s="1"/>
      <c r="D92" s="28"/>
      <c r="H92" s="37"/>
      <c r="I92" s="37">
        <f>IF($B92="Yes",1,0)</f>
        <v>0</v>
      </c>
      <c r="J92" s="37"/>
      <c r="K92" s="37"/>
      <c r="L92" s="37"/>
      <c r="M92" s="37"/>
      <c r="N92" s="37">
        <f>IF($B92="Yes",1,0)</f>
        <v>0</v>
      </c>
      <c r="O92" s="37"/>
      <c r="P92" s="37"/>
      <c r="Q92" s="37"/>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row>
    <row r="93" spans="1:182" ht="12.75">
      <c r="A93" s="16" t="s">
        <v>41</v>
      </c>
      <c r="B93" s="119"/>
      <c r="C93" s="1"/>
      <c r="D93" s="28"/>
      <c r="H93" s="37"/>
      <c r="I93" s="37"/>
      <c r="J93" s="37"/>
      <c r="K93" s="37">
        <f>IF($B93="Yes",1,0)</f>
        <v>0</v>
      </c>
      <c r="L93" s="37">
        <f>IF($B93="Yes",1,0)</f>
        <v>0</v>
      </c>
      <c r="M93" s="37"/>
      <c r="N93" s="37"/>
      <c r="O93" s="37">
        <f>IF($B93="Yes",1,0)</f>
        <v>0</v>
      </c>
      <c r="P93" s="37"/>
      <c r="Q93" s="37"/>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row>
    <row r="94" spans="1:182" ht="12.75">
      <c r="A94" s="16" t="s">
        <v>42</v>
      </c>
      <c r="B94" s="119"/>
      <c r="C94" s="1"/>
      <c r="D94" s="28"/>
      <c r="H94" s="37"/>
      <c r="I94" s="37"/>
      <c r="J94" s="37"/>
      <c r="K94" s="37">
        <f>IF($B94="Yes",1,0)</f>
        <v>0</v>
      </c>
      <c r="L94" s="37">
        <f>IF($B94="Yes",1,0)</f>
        <v>0</v>
      </c>
      <c r="M94" s="37"/>
      <c r="N94" s="37"/>
      <c r="O94" s="37">
        <f>IF($B94="Yes",1,0)</f>
        <v>0</v>
      </c>
      <c r="P94" s="37"/>
      <c r="Q94" s="37"/>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row>
    <row r="95" ht="12.75">
      <c r="A95" s="129"/>
    </row>
    <row r="96" spans="1:182" ht="12.75">
      <c r="A96" s="16" t="s">
        <v>43</v>
      </c>
      <c r="B96" s="119"/>
      <c r="C96" s="1"/>
      <c r="D96" s="28"/>
      <c r="H96" s="37">
        <f>IF($B96="Yes",1,0)</f>
        <v>0</v>
      </c>
      <c r="I96" s="37">
        <f>IF($B96="Yes",1,0)</f>
        <v>0</v>
      </c>
      <c r="J96" s="37"/>
      <c r="K96" s="37"/>
      <c r="L96" s="37"/>
      <c r="M96" s="37"/>
      <c r="N96" s="37">
        <f>IF($B96="Yes",1,0)</f>
        <v>0</v>
      </c>
      <c r="O96" s="37"/>
      <c r="P96" s="37"/>
      <c r="Q96" s="37"/>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row>
    <row r="97" spans="1:182" ht="12.75">
      <c r="A97" s="16" t="s">
        <v>44</v>
      </c>
      <c r="B97" s="119"/>
      <c r="C97" s="1"/>
      <c r="D97" s="28"/>
      <c r="H97" s="37">
        <f>IF($B97="Yes",1,0)</f>
        <v>0</v>
      </c>
      <c r="I97" s="37"/>
      <c r="J97" s="37"/>
      <c r="K97" s="37"/>
      <c r="L97" s="37"/>
      <c r="M97" s="37">
        <f>IF($B97="Yes",1,0)</f>
        <v>0</v>
      </c>
      <c r="N97" s="37">
        <f>IF($B97="Yes",1,0)</f>
        <v>0</v>
      </c>
      <c r="O97" s="37"/>
      <c r="P97" s="37">
        <f>IF($B97="Yes",1,0)</f>
        <v>0</v>
      </c>
      <c r="Q97" s="37"/>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row>
    <row r="98" ht="12.75">
      <c r="A98" s="129"/>
    </row>
    <row r="99" spans="1:182" ht="12.75">
      <c r="A99" s="16" t="s">
        <v>350</v>
      </c>
      <c r="B99" s="119"/>
      <c r="C99" s="1"/>
      <c r="D99" s="28"/>
      <c r="H99" s="37">
        <f>IF($B99="Yes",1,0)</f>
        <v>0</v>
      </c>
      <c r="I99" s="37"/>
      <c r="J99" s="37"/>
      <c r="K99" s="37">
        <f>IF($B99="Yes",1,0)</f>
        <v>0</v>
      </c>
      <c r="L99" s="37"/>
      <c r="M99" s="37"/>
      <c r="N99" s="37">
        <f>IF($B99="Yes",1,0)</f>
        <v>0</v>
      </c>
      <c r="O99" s="37">
        <f>IF($B99="Yes",1,0)</f>
        <v>0</v>
      </c>
      <c r="P99" s="37">
        <f>IF($B99="Yes",1,0)</f>
        <v>0</v>
      </c>
      <c r="Q99" s="37"/>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row>
    <row r="100" spans="1:182" ht="12.75">
      <c r="A100" s="16" t="s">
        <v>221</v>
      </c>
      <c r="B100" s="119"/>
      <c r="C100" s="1"/>
      <c r="D100" s="28"/>
      <c r="H100" s="37">
        <f>IF($B100="Yes",1,0)</f>
        <v>0</v>
      </c>
      <c r="I100" s="37"/>
      <c r="J100" s="37"/>
      <c r="K100" s="37"/>
      <c r="L100" s="37"/>
      <c r="M100" s="37">
        <f>IF($B100="Yes",1,0)</f>
        <v>0</v>
      </c>
      <c r="N100" s="37">
        <f>IF($B100="Yes",1,0)</f>
        <v>0</v>
      </c>
      <c r="O100" s="37"/>
      <c r="P100" s="37">
        <f>IF($B100="Yes",1,0)</f>
        <v>0</v>
      </c>
      <c r="Q100" s="37"/>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row>
    <row r="101" spans="1:182" ht="12.75">
      <c r="A101" s="1"/>
      <c r="B101" s="3"/>
      <c r="C101" s="1"/>
      <c r="D101" s="28"/>
      <c r="H101" s="37"/>
      <c r="I101" s="37"/>
      <c r="J101" s="37"/>
      <c r="K101" s="37"/>
      <c r="L101" s="37"/>
      <c r="M101" s="37"/>
      <c r="N101" s="37"/>
      <c r="O101" s="37"/>
      <c r="P101" s="37"/>
      <c r="Q101" s="37"/>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row>
    <row r="102" spans="1:182" ht="12.75">
      <c r="A102" s="1"/>
      <c r="B102" s="3"/>
      <c r="C102" s="1"/>
      <c r="D102" s="28"/>
      <c r="H102" s="37"/>
      <c r="I102" s="37"/>
      <c r="J102" s="37"/>
      <c r="K102" s="37"/>
      <c r="L102" s="37"/>
      <c r="M102" s="37"/>
      <c r="N102" s="37"/>
      <c r="O102" s="37"/>
      <c r="P102" s="37"/>
      <c r="Q102" s="37"/>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row>
    <row r="103" spans="1:182" ht="12.75">
      <c r="A103" s="1"/>
      <c r="B103" s="3"/>
      <c r="C103" s="1"/>
      <c r="D103" s="28"/>
      <c r="H103" s="37"/>
      <c r="I103" s="37"/>
      <c r="J103" s="37"/>
      <c r="K103" s="37"/>
      <c r="L103" s="37"/>
      <c r="M103" s="37"/>
      <c r="N103" s="37"/>
      <c r="O103" s="37"/>
      <c r="P103" s="37"/>
      <c r="Q103" s="37"/>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row>
    <row r="104" spans="1:182" ht="12.75">
      <c r="A104" s="1"/>
      <c r="B104" s="3"/>
      <c r="C104" s="1"/>
      <c r="D104" s="28"/>
      <c r="H104" s="37"/>
      <c r="I104" s="37"/>
      <c r="J104" s="37"/>
      <c r="K104" s="37"/>
      <c r="L104" s="37"/>
      <c r="M104" s="37"/>
      <c r="N104" s="37"/>
      <c r="O104" s="37"/>
      <c r="P104" s="37"/>
      <c r="Q104" s="37"/>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row>
    <row r="105" spans="1:182" ht="12.75">
      <c r="A105" s="1"/>
      <c r="B105" s="3"/>
      <c r="C105" s="1"/>
      <c r="D105" s="28"/>
      <c r="H105" s="4"/>
      <c r="I105" s="4"/>
      <c r="J105" s="4"/>
      <c r="K105" s="4"/>
      <c r="L105" s="4"/>
      <c r="M105" s="4"/>
      <c r="N105" s="4"/>
      <c r="O105" s="4"/>
      <c r="P105" s="4"/>
      <c r="Q105" s="4"/>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row>
    <row r="106" spans="1:182" ht="12.75">
      <c r="A106" s="1"/>
      <c r="B106" s="3"/>
      <c r="C106" s="1"/>
      <c r="D106" s="28"/>
      <c r="H106" s="4"/>
      <c r="I106" s="4"/>
      <c r="J106" s="4"/>
      <c r="K106" s="4"/>
      <c r="L106" s="4"/>
      <c r="M106" s="4"/>
      <c r="N106" s="4"/>
      <c r="O106" s="4"/>
      <c r="P106" s="4"/>
      <c r="Q106" s="4"/>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row>
    <row r="107" spans="1:182" ht="12.75">
      <c r="A107" s="1"/>
      <c r="B107" s="3"/>
      <c r="C107" s="1"/>
      <c r="D107" s="28"/>
      <c r="H107" s="4"/>
      <c r="I107" s="4"/>
      <c r="J107" s="4"/>
      <c r="K107" s="4"/>
      <c r="L107" s="4"/>
      <c r="M107" s="4"/>
      <c r="N107" s="4"/>
      <c r="O107" s="4"/>
      <c r="P107" s="4"/>
      <c r="Q107" s="4"/>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row>
    <row r="108" spans="1:182" ht="12.75">
      <c r="A108" s="1"/>
      <c r="B108" s="3"/>
      <c r="C108" s="1"/>
      <c r="D108" s="28"/>
      <c r="H108" s="4"/>
      <c r="I108" s="4"/>
      <c r="J108" s="4"/>
      <c r="K108" s="4"/>
      <c r="L108" s="4"/>
      <c r="M108" s="4"/>
      <c r="N108" s="4"/>
      <c r="O108" s="4"/>
      <c r="P108" s="4"/>
      <c r="Q108" s="4"/>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row>
    <row r="109" spans="1:182" ht="12.75">
      <c r="A109" s="1"/>
      <c r="B109" s="3"/>
      <c r="C109" s="1"/>
      <c r="D109" s="28"/>
      <c r="H109" s="4"/>
      <c r="I109" s="4"/>
      <c r="J109" s="4"/>
      <c r="K109" s="4"/>
      <c r="L109" s="4"/>
      <c r="M109" s="4"/>
      <c r="N109" s="4"/>
      <c r="O109" s="4"/>
      <c r="P109" s="4"/>
      <c r="Q109" s="4"/>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row>
    <row r="110" spans="1:182" ht="12.75">
      <c r="A110" s="1"/>
      <c r="B110" s="3"/>
      <c r="C110" s="1"/>
      <c r="D110" s="28"/>
      <c r="H110" s="4"/>
      <c r="I110" s="4"/>
      <c r="J110" s="4"/>
      <c r="K110" s="4"/>
      <c r="L110" s="4"/>
      <c r="M110" s="4"/>
      <c r="N110" s="4"/>
      <c r="O110" s="4"/>
      <c r="P110" s="4"/>
      <c r="Q110" s="4"/>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row>
    <row r="111" spans="1:182" ht="12.75">
      <c r="A111" s="1"/>
      <c r="B111" s="3"/>
      <c r="C111" s="1"/>
      <c r="D111" s="28"/>
      <c r="H111" s="4"/>
      <c r="I111" s="4"/>
      <c r="J111" s="4"/>
      <c r="K111" s="4"/>
      <c r="L111" s="4"/>
      <c r="M111" s="4"/>
      <c r="N111" s="4"/>
      <c r="O111" s="4"/>
      <c r="P111" s="4"/>
      <c r="Q111" s="4"/>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row>
    <row r="112" spans="1:182" ht="12.75">
      <c r="A112" s="1"/>
      <c r="B112" s="3"/>
      <c r="C112" s="1"/>
      <c r="D112" s="28"/>
      <c r="H112" s="4"/>
      <c r="I112" s="4"/>
      <c r="J112" s="4"/>
      <c r="K112" s="4"/>
      <c r="L112" s="4"/>
      <c r="M112" s="4"/>
      <c r="N112" s="4"/>
      <c r="O112" s="4"/>
      <c r="P112" s="4"/>
      <c r="Q112" s="4"/>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row>
    <row r="113" spans="1:182" ht="12.75">
      <c r="A113" s="1"/>
      <c r="B113" s="3"/>
      <c r="C113" s="1"/>
      <c r="D113" s="28"/>
      <c r="H113" s="4"/>
      <c r="I113" s="4"/>
      <c r="J113" s="4"/>
      <c r="K113" s="4"/>
      <c r="L113" s="4"/>
      <c r="M113" s="4"/>
      <c r="N113" s="4"/>
      <c r="O113" s="4"/>
      <c r="P113" s="4"/>
      <c r="Q113" s="4"/>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row>
    <row r="114" spans="1:182" ht="12.75">
      <c r="A114" s="1"/>
      <c r="B114" s="3"/>
      <c r="C114" s="1"/>
      <c r="D114" s="28"/>
      <c r="H114" s="4"/>
      <c r="I114" s="4"/>
      <c r="J114" s="4"/>
      <c r="K114" s="4"/>
      <c r="L114" s="4"/>
      <c r="M114" s="4"/>
      <c r="N114" s="4"/>
      <c r="O114" s="4"/>
      <c r="P114" s="4"/>
      <c r="Q114" s="4"/>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row>
    <row r="115" spans="1:182" ht="12.75">
      <c r="A115" s="1"/>
      <c r="B115" s="3"/>
      <c r="C115" s="1"/>
      <c r="D115" s="28"/>
      <c r="H115" s="4"/>
      <c r="I115" s="4"/>
      <c r="J115" s="4"/>
      <c r="K115" s="4"/>
      <c r="L115" s="4"/>
      <c r="M115" s="4"/>
      <c r="N115" s="4"/>
      <c r="O115" s="4"/>
      <c r="P115" s="4"/>
      <c r="Q115" s="4"/>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row>
    <row r="116" spans="1:182" ht="12.75">
      <c r="A116" s="1"/>
      <c r="B116" s="3"/>
      <c r="C116" s="1"/>
      <c r="D116" s="28"/>
      <c r="H116" s="4"/>
      <c r="I116" s="4"/>
      <c r="J116" s="4"/>
      <c r="K116" s="4"/>
      <c r="L116" s="4"/>
      <c r="M116" s="4"/>
      <c r="N116" s="4"/>
      <c r="O116" s="4"/>
      <c r="P116" s="4"/>
      <c r="Q116" s="4"/>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row>
    <row r="117" spans="1:182" ht="12.75">
      <c r="A117" s="1"/>
      <c r="B117" s="3"/>
      <c r="C117" s="1"/>
      <c r="D117" s="28"/>
      <c r="H117" s="4"/>
      <c r="I117" s="4"/>
      <c r="J117" s="4"/>
      <c r="K117" s="4"/>
      <c r="L117" s="4"/>
      <c r="M117" s="4"/>
      <c r="N117" s="4"/>
      <c r="O117" s="4"/>
      <c r="P117" s="4"/>
      <c r="Q117" s="4"/>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row>
    <row r="118" spans="1:182" ht="12.75">
      <c r="A118" s="1"/>
      <c r="B118" s="3"/>
      <c r="C118" s="1"/>
      <c r="D118" s="28"/>
      <c r="H118" s="4"/>
      <c r="I118" s="4"/>
      <c r="J118" s="4"/>
      <c r="K118" s="4"/>
      <c r="L118" s="4"/>
      <c r="M118" s="4"/>
      <c r="N118" s="4"/>
      <c r="O118" s="4"/>
      <c r="P118" s="4"/>
      <c r="Q118" s="4"/>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row>
    <row r="119" spans="1:182" ht="12.75">
      <c r="A119" s="1"/>
      <c r="B119" s="3"/>
      <c r="C119" s="1"/>
      <c r="D119" s="28"/>
      <c r="H119" s="4"/>
      <c r="I119" s="4"/>
      <c r="J119" s="4"/>
      <c r="K119" s="4"/>
      <c r="L119" s="4"/>
      <c r="M119" s="4"/>
      <c r="N119" s="4"/>
      <c r="O119" s="4"/>
      <c r="P119" s="4"/>
      <c r="Q119" s="4"/>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row>
    <row r="120" spans="1:182" ht="12.75">
      <c r="A120" s="1"/>
      <c r="B120" s="3"/>
      <c r="C120" s="1"/>
      <c r="D120" s="28"/>
      <c r="H120" s="4"/>
      <c r="I120" s="4"/>
      <c r="J120" s="4"/>
      <c r="K120" s="4"/>
      <c r="L120" s="4"/>
      <c r="M120" s="4"/>
      <c r="N120" s="4"/>
      <c r="O120" s="4"/>
      <c r="P120" s="4"/>
      <c r="Q120" s="4"/>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row>
    <row r="121" spans="1:182" ht="12.75">
      <c r="A121" s="1"/>
      <c r="B121" s="3"/>
      <c r="C121" s="1"/>
      <c r="D121" s="28"/>
      <c r="H121" s="4"/>
      <c r="I121" s="4"/>
      <c r="J121" s="4"/>
      <c r="K121" s="4"/>
      <c r="L121" s="4"/>
      <c r="M121" s="4"/>
      <c r="N121" s="4"/>
      <c r="O121" s="4"/>
      <c r="P121" s="4"/>
      <c r="Q121" s="4"/>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row>
    <row r="122" spans="1:182" ht="12.75">
      <c r="A122" s="1"/>
      <c r="B122" s="3"/>
      <c r="C122" s="1"/>
      <c r="D122" s="28"/>
      <c r="H122" s="4"/>
      <c r="I122" s="4"/>
      <c r="J122" s="4"/>
      <c r="K122" s="4"/>
      <c r="L122" s="4"/>
      <c r="M122" s="4"/>
      <c r="N122" s="4"/>
      <c r="O122" s="4"/>
      <c r="P122" s="4"/>
      <c r="Q122" s="4"/>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row>
    <row r="123" spans="1:182" ht="12.75">
      <c r="A123" s="1"/>
      <c r="B123" s="3"/>
      <c r="C123" s="1"/>
      <c r="D123" s="28"/>
      <c r="H123" s="4"/>
      <c r="I123" s="4"/>
      <c r="J123" s="4"/>
      <c r="K123" s="4"/>
      <c r="L123" s="4"/>
      <c r="M123" s="4"/>
      <c r="N123" s="4"/>
      <c r="O123" s="4"/>
      <c r="P123" s="4"/>
      <c r="Q123" s="4"/>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row>
    <row r="124" spans="1:182" ht="12.75">
      <c r="A124" s="1"/>
      <c r="B124" s="3"/>
      <c r="C124" s="1"/>
      <c r="D124" s="28"/>
      <c r="H124" s="4"/>
      <c r="I124" s="4"/>
      <c r="J124" s="4"/>
      <c r="K124" s="4"/>
      <c r="L124" s="4"/>
      <c r="M124" s="4"/>
      <c r="N124" s="4"/>
      <c r="O124" s="4"/>
      <c r="P124" s="4"/>
      <c r="Q124" s="4"/>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row>
    <row r="125" spans="1:182" ht="12.75">
      <c r="A125" s="1"/>
      <c r="B125" s="3"/>
      <c r="C125" s="1"/>
      <c r="D125" s="28"/>
      <c r="H125" s="4"/>
      <c r="I125" s="4"/>
      <c r="J125" s="4"/>
      <c r="K125" s="4"/>
      <c r="L125" s="4"/>
      <c r="M125" s="4"/>
      <c r="N125" s="4"/>
      <c r="O125" s="4"/>
      <c r="P125" s="4"/>
      <c r="Q125" s="4"/>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row>
    <row r="126" spans="1:182" ht="12.75">
      <c r="A126" s="1"/>
      <c r="B126" s="3"/>
      <c r="C126" s="1"/>
      <c r="D126" s="28"/>
      <c r="H126" s="4"/>
      <c r="I126" s="4"/>
      <c r="J126" s="4"/>
      <c r="K126" s="4"/>
      <c r="L126" s="4"/>
      <c r="M126" s="4"/>
      <c r="N126" s="4"/>
      <c r="O126" s="4"/>
      <c r="P126" s="4"/>
      <c r="Q126" s="4"/>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row>
    <row r="127" spans="1:182" ht="12.75">
      <c r="A127" s="1"/>
      <c r="B127" s="3"/>
      <c r="C127" s="1"/>
      <c r="D127" s="28"/>
      <c r="H127" s="4"/>
      <c r="I127" s="4"/>
      <c r="J127" s="4"/>
      <c r="K127" s="4"/>
      <c r="L127" s="4"/>
      <c r="M127" s="4"/>
      <c r="N127" s="4"/>
      <c r="O127" s="4"/>
      <c r="P127" s="4"/>
      <c r="Q127" s="4"/>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row>
    <row r="128" spans="1:182" ht="12.75">
      <c r="A128" s="1"/>
      <c r="B128" s="3"/>
      <c r="C128" s="1"/>
      <c r="D128" s="28"/>
      <c r="H128" s="4"/>
      <c r="I128" s="4"/>
      <c r="J128" s="4"/>
      <c r="K128" s="4"/>
      <c r="L128" s="4"/>
      <c r="M128" s="4"/>
      <c r="N128" s="4"/>
      <c r="O128" s="4"/>
      <c r="P128" s="4"/>
      <c r="Q128" s="4"/>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row>
    <row r="129" spans="1:182" ht="12.75">
      <c r="A129" s="1"/>
      <c r="B129" s="3"/>
      <c r="C129" s="1"/>
      <c r="D129" s="28"/>
      <c r="H129" s="4"/>
      <c r="I129" s="4"/>
      <c r="J129" s="4"/>
      <c r="K129" s="4"/>
      <c r="L129" s="4"/>
      <c r="M129" s="4"/>
      <c r="N129" s="4"/>
      <c r="O129" s="4"/>
      <c r="P129" s="4"/>
      <c r="Q129" s="4"/>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row>
    <row r="130" spans="1:182" ht="12.75">
      <c r="A130" s="1"/>
      <c r="B130" s="3"/>
      <c r="C130" s="1"/>
      <c r="D130" s="28"/>
      <c r="H130" s="4"/>
      <c r="I130" s="4"/>
      <c r="J130" s="4"/>
      <c r="K130" s="4"/>
      <c r="L130" s="4"/>
      <c r="M130" s="4"/>
      <c r="N130" s="4"/>
      <c r="O130" s="4"/>
      <c r="P130" s="4"/>
      <c r="Q130" s="4"/>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row>
    <row r="131" spans="1:182" ht="12.75">
      <c r="A131" s="1"/>
      <c r="B131" s="3"/>
      <c r="C131" s="1"/>
      <c r="D131" s="28"/>
      <c r="H131" s="4"/>
      <c r="I131" s="4"/>
      <c r="J131" s="4"/>
      <c r="K131" s="4"/>
      <c r="L131" s="4"/>
      <c r="M131" s="4"/>
      <c r="N131" s="4"/>
      <c r="O131" s="4"/>
      <c r="P131" s="4"/>
      <c r="Q131" s="4"/>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row>
    <row r="132" spans="1:182" ht="12.75">
      <c r="A132" s="1"/>
      <c r="B132" s="3"/>
      <c r="C132" s="1"/>
      <c r="D132" s="28"/>
      <c r="H132" s="4"/>
      <c r="I132" s="4"/>
      <c r="J132" s="4"/>
      <c r="K132" s="4"/>
      <c r="L132" s="4"/>
      <c r="M132" s="4"/>
      <c r="N132" s="4"/>
      <c r="O132" s="4"/>
      <c r="P132" s="4"/>
      <c r="Q132" s="4"/>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row>
    <row r="133" spans="1:182" ht="12.75">
      <c r="A133" s="1"/>
      <c r="B133" s="3"/>
      <c r="C133" s="1"/>
      <c r="D133" s="28"/>
      <c r="H133" s="4"/>
      <c r="I133" s="4"/>
      <c r="J133" s="4"/>
      <c r="K133" s="4"/>
      <c r="L133" s="4"/>
      <c r="M133" s="4"/>
      <c r="N133" s="4"/>
      <c r="O133" s="4"/>
      <c r="P133" s="4"/>
      <c r="Q133" s="4"/>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row>
    <row r="134" spans="1:182" ht="12.75">
      <c r="A134" s="1"/>
      <c r="B134" s="3"/>
      <c r="C134" s="1"/>
      <c r="D134" s="28"/>
      <c r="H134" s="4"/>
      <c r="I134" s="4"/>
      <c r="J134" s="4"/>
      <c r="K134" s="4"/>
      <c r="L134" s="4"/>
      <c r="M134" s="4"/>
      <c r="N134" s="4"/>
      <c r="O134" s="4"/>
      <c r="P134" s="4"/>
      <c r="Q134" s="4"/>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row>
    <row r="135" spans="1:182" ht="12.75">
      <c r="A135" s="1"/>
      <c r="B135" s="3"/>
      <c r="C135" s="1"/>
      <c r="D135" s="28"/>
      <c r="H135" s="4"/>
      <c r="I135" s="4"/>
      <c r="J135" s="4"/>
      <c r="K135" s="4"/>
      <c r="L135" s="4"/>
      <c r="M135" s="4"/>
      <c r="N135" s="4"/>
      <c r="O135" s="4"/>
      <c r="P135" s="4"/>
      <c r="Q135" s="4"/>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row>
    <row r="136" spans="1:182" ht="12.75">
      <c r="A136" s="1"/>
      <c r="B136" s="3"/>
      <c r="C136" s="1"/>
      <c r="D136" s="28"/>
      <c r="H136" s="4"/>
      <c r="I136" s="4"/>
      <c r="J136" s="4"/>
      <c r="K136" s="4"/>
      <c r="L136" s="4"/>
      <c r="M136" s="4"/>
      <c r="N136" s="4"/>
      <c r="O136" s="4"/>
      <c r="P136" s="4"/>
      <c r="Q136" s="4"/>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row>
    <row r="137" spans="1:182" ht="12.75">
      <c r="A137" s="1"/>
      <c r="B137" s="3"/>
      <c r="C137" s="1"/>
      <c r="D137" s="28"/>
      <c r="H137" s="4"/>
      <c r="I137" s="4"/>
      <c r="J137" s="4"/>
      <c r="K137" s="4"/>
      <c r="L137" s="4"/>
      <c r="M137" s="4"/>
      <c r="N137" s="4"/>
      <c r="O137" s="4"/>
      <c r="P137" s="4"/>
      <c r="Q137" s="4"/>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row>
    <row r="138" spans="1:182" ht="12.75">
      <c r="A138" s="1"/>
      <c r="B138" s="3"/>
      <c r="C138" s="1"/>
      <c r="D138" s="28"/>
      <c r="H138" s="4"/>
      <c r="I138" s="4"/>
      <c r="J138" s="4"/>
      <c r="K138" s="4"/>
      <c r="L138" s="4"/>
      <c r="M138" s="4"/>
      <c r="N138" s="4"/>
      <c r="O138" s="4"/>
      <c r="P138" s="4"/>
      <c r="Q138" s="4"/>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row>
    <row r="139" spans="1:182" ht="12.75">
      <c r="A139" s="1"/>
      <c r="B139" s="3"/>
      <c r="C139" s="1"/>
      <c r="D139" s="28"/>
      <c r="H139" s="4"/>
      <c r="I139" s="4"/>
      <c r="J139" s="4"/>
      <c r="K139" s="4"/>
      <c r="L139" s="4"/>
      <c r="M139" s="4"/>
      <c r="N139" s="4"/>
      <c r="O139" s="4"/>
      <c r="P139" s="4"/>
      <c r="Q139" s="4"/>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row>
    <row r="140" spans="1:182" ht="12.75">
      <c r="A140" s="1"/>
      <c r="B140" s="3"/>
      <c r="C140" s="1"/>
      <c r="D140" s="28"/>
      <c r="H140" s="4"/>
      <c r="I140" s="4"/>
      <c r="J140" s="4"/>
      <c r="K140" s="4"/>
      <c r="L140" s="4"/>
      <c r="M140" s="4"/>
      <c r="N140" s="4"/>
      <c r="O140" s="4"/>
      <c r="P140" s="4"/>
      <c r="Q140" s="4"/>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row>
    <row r="141" spans="1:182" ht="12.75">
      <c r="A141" s="1"/>
      <c r="B141" s="3"/>
      <c r="C141" s="1"/>
      <c r="D141" s="28"/>
      <c r="H141" s="4"/>
      <c r="I141" s="4"/>
      <c r="J141" s="4"/>
      <c r="K141" s="4"/>
      <c r="L141" s="4"/>
      <c r="M141" s="4"/>
      <c r="N141" s="4"/>
      <c r="O141" s="4"/>
      <c r="P141" s="4"/>
      <c r="Q141" s="4"/>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row>
    <row r="142" spans="1:182" ht="12.75">
      <c r="A142" s="1"/>
      <c r="B142" s="3"/>
      <c r="C142" s="1"/>
      <c r="D142" s="28"/>
      <c r="H142" s="4"/>
      <c r="I142" s="4"/>
      <c r="J142" s="4"/>
      <c r="K142" s="4"/>
      <c r="L142" s="4"/>
      <c r="M142" s="4"/>
      <c r="N142" s="4"/>
      <c r="O142" s="4"/>
      <c r="P142" s="4"/>
      <c r="Q142" s="4"/>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row>
    <row r="143" spans="1:182" ht="12.75">
      <c r="A143" s="1"/>
      <c r="B143" s="3"/>
      <c r="C143" s="1"/>
      <c r="D143" s="28"/>
      <c r="H143" s="4"/>
      <c r="I143" s="4"/>
      <c r="J143" s="4"/>
      <c r="K143" s="4"/>
      <c r="L143" s="4"/>
      <c r="M143" s="4"/>
      <c r="N143" s="4"/>
      <c r="O143" s="4"/>
      <c r="P143" s="4"/>
      <c r="Q143" s="4"/>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row>
    <row r="144" spans="1:182" ht="12.75">
      <c r="A144" s="1"/>
      <c r="B144" s="3"/>
      <c r="C144" s="1"/>
      <c r="D144" s="28"/>
      <c r="H144" s="4"/>
      <c r="I144" s="4"/>
      <c r="J144" s="4"/>
      <c r="K144" s="4"/>
      <c r="L144" s="4"/>
      <c r="M144" s="4"/>
      <c r="N144" s="4"/>
      <c r="O144" s="4"/>
      <c r="P144" s="4"/>
      <c r="Q144" s="4"/>
      <c r="R144" s="4"/>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row>
    <row r="145" spans="1:182" ht="12.75">
      <c r="A145" s="1"/>
      <c r="B145" s="3"/>
      <c r="C145" s="1"/>
      <c r="D145" s="28"/>
      <c r="H145" s="4"/>
      <c r="I145" s="4"/>
      <c r="J145" s="4"/>
      <c r="K145" s="4"/>
      <c r="L145" s="4"/>
      <c r="M145" s="4"/>
      <c r="N145" s="4"/>
      <c r="O145" s="4"/>
      <c r="P145" s="4"/>
      <c r="Q145" s="4"/>
      <c r="R145" s="4"/>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row>
    <row r="146" spans="1:182" ht="12.75">
      <c r="A146" s="1"/>
      <c r="B146" s="3"/>
      <c r="C146" s="1"/>
      <c r="D146" s="28"/>
      <c r="H146" s="4"/>
      <c r="I146" s="4"/>
      <c r="J146" s="4"/>
      <c r="K146" s="4"/>
      <c r="L146" s="4"/>
      <c r="M146" s="4"/>
      <c r="N146" s="4"/>
      <c r="O146" s="4"/>
      <c r="P146" s="4"/>
      <c r="Q146" s="4"/>
      <c r="R146" s="4"/>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row>
    <row r="147" spans="1:182" ht="12.75">
      <c r="A147" s="1"/>
      <c r="B147" s="3"/>
      <c r="C147" s="1"/>
      <c r="D147" s="28"/>
      <c r="H147" s="4"/>
      <c r="I147" s="4"/>
      <c r="J147" s="4"/>
      <c r="K147" s="4"/>
      <c r="L147" s="4"/>
      <c r="M147" s="4"/>
      <c r="N147" s="4"/>
      <c r="O147" s="4"/>
      <c r="P147" s="4"/>
      <c r="Q147" s="4"/>
      <c r="R147" s="4"/>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row>
    <row r="148" spans="1:182" ht="12.75">
      <c r="A148" s="1"/>
      <c r="B148" s="3"/>
      <c r="C148" s="1"/>
      <c r="D148" s="28"/>
      <c r="H148" s="4"/>
      <c r="I148" s="4"/>
      <c r="J148" s="4"/>
      <c r="K148" s="4"/>
      <c r="L148" s="4"/>
      <c r="M148" s="4"/>
      <c r="N148" s="4"/>
      <c r="O148" s="4"/>
      <c r="P148" s="4"/>
      <c r="Q148" s="4"/>
      <c r="R148" s="4"/>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row>
    <row r="149" spans="1:182" ht="12.75">
      <c r="A149" s="1"/>
      <c r="B149" s="3"/>
      <c r="C149" s="1"/>
      <c r="D149" s="28"/>
      <c r="H149" s="4"/>
      <c r="I149" s="4"/>
      <c r="J149" s="4"/>
      <c r="K149" s="4"/>
      <c r="L149" s="4"/>
      <c r="M149" s="4"/>
      <c r="N149" s="4"/>
      <c r="O149" s="4"/>
      <c r="P149" s="4"/>
      <c r="Q149" s="4"/>
      <c r="R149" s="4"/>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row>
    <row r="150" spans="1:182" ht="12.75">
      <c r="A150" s="1"/>
      <c r="B150" s="3"/>
      <c r="C150" s="1"/>
      <c r="D150" s="28"/>
      <c r="H150" s="4"/>
      <c r="I150" s="4"/>
      <c r="J150" s="4"/>
      <c r="K150" s="4"/>
      <c r="L150" s="4"/>
      <c r="M150" s="4"/>
      <c r="N150" s="4"/>
      <c r="O150" s="4"/>
      <c r="P150" s="4"/>
      <c r="Q150" s="4"/>
      <c r="R150" s="4"/>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row>
    <row r="151" spans="1:182" ht="12.75">
      <c r="A151" s="1"/>
      <c r="B151" s="3"/>
      <c r="C151" s="1"/>
      <c r="D151" s="28"/>
      <c r="H151" s="4"/>
      <c r="I151" s="4"/>
      <c r="J151" s="4"/>
      <c r="K151" s="4"/>
      <c r="L151" s="4"/>
      <c r="M151" s="4"/>
      <c r="N151" s="4"/>
      <c r="O151" s="4"/>
      <c r="P151" s="4"/>
      <c r="Q151" s="4"/>
      <c r="R151" s="4"/>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row>
    <row r="152" spans="1:182" ht="12.75">
      <c r="A152" s="1"/>
      <c r="B152" s="3"/>
      <c r="C152" s="1"/>
      <c r="D152" s="28"/>
      <c r="H152" s="4"/>
      <c r="I152" s="4"/>
      <c r="J152" s="4"/>
      <c r="K152" s="4"/>
      <c r="L152" s="4"/>
      <c r="M152" s="4"/>
      <c r="N152" s="4"/>
      <c r="O152" s="4"/>
      <c r="P152" s="4"/>
      <c r="Q152" s="4"/>
      <c r="R152" s="4"/>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row>
    <row r="153" spans="1:182" ht="12.75">
      <c r="A153" s="1"/>
      <c r="B153" s="3"/>
      <c r="C153" s="1"/>
      <c r="D153" s="28"/>
      <c r="H153" s="4"/>
      <c r="I153" s="4"/>
      <c r="J153" s="4"/>
      <c r="K153" s="4"/>
      <c r="L153" s="4"/>
      <c r="M153" s="4"/>
      <c r="N153" s="4"/>
      <c r="O153" s="4"/>
      <c r="P153" s="4"/>
      <c r="Q153" s="4"/>
      <c r="R153" s="4"/>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row>
    <row r="154" spans="1:182" ht="12.75">
      <c r="A154" s="1"/>
      <c r="B154" s="3"/>
      <c r="C154" s="1"/>
      <c r="D154" s="28"/>
      <c r="H154" s="4"/>
      <c r="I154" s="4"/>
      <c r="J154" s="4"/>
      <c r="K154" s="4"/>
      <c r="L154" s="4"/>
      <c r="M154" s="4"/>
      <c r="N154" s="4"/>
      <c r="O154" s="4"/>
      <c r="P154" s="4"/>
      <c r="Q154" s="4"/>
      <c r="R154" s="4"/>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row>
    <row r="155" spans="1:182" ht="12.75">
      <c r="A155" s="1"/>
      <c r="B155" s="3"/>
      <c r="C155" s="1"/>
      <c r="D155" s="28"/>
      <c r="H155" s="4"/>
      <c r="I155" s="4"/>
      <c r="J155" s="4"/>
      <c r="K155" s="4"/>
      <c r="L155" s="4"/>
      <c r="M155" s="4"/>
      <c r="N155" s="4"/>
      <c r="O155" s="4"/>
      <c r="P155" s="4"/>
      <c r="Q155" s="4"/>
      <c r="R155" s="4"/>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row>
    <row r="156" spans="1:182" ht="12.75">
      <c r="A156" s="1"/>
      <c r="B156" s="3"/>
      <c r="C156" s="1"/>
      <c r="D156" s="28"/>
      <c r="H156" s="4"/>
      <c r="I156" s="4"/>
      <c r="J156" s="4"/>
      <c r="K156" s="4"/>
      <c r="L156" s="4"/>
      <c r="M156" s="4"/>
      <c r="N156" s="4"/>
      <c r="O156" s="4"/>
      <c r="P156" s="4"/>
      <c r="Q156" s="4"/>
      <c r="R156" s="4"/>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row>
    <row r="157" spans="1:182" ht="12.75">
      <c r="A157" s="1"/>
      <c r="B157" s="3"/>
      <c r="C157" s="1"/>
      <c r="D157" s="28"/>
      <c r="H157" s="4"/>
      <c r="I157" s="4"/>
      <c r="J157" s="4"/>
      <c r="K157" s="4"/>
      <c r="L157" s="4"/>
      <c r="M157" s="4"/>
      <c r="N157" s="4"/>
      <c r="O157" s="4"/>
      <c r="P157" s="4"/>
      <c r="Q157" s="4"/>
      <c r="R157" s="4"/>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row>
    <row r="158" spans="1:182" ht="12.75">
      <c r="A158" s="1"/>
      <c r="B158" s="3"/>
      <c r="C158" s="1"/>
      <c r="D158" s="28"/>
      <c r="H158" s="4"/>
      <c r="I158" s="4"/>
      <c r="J158" s="4"/>
      <c r="K158" s="4"/>
      <c r="L158" s="4"/>
      <c r="M158" s="4"/>
      <c r="N158" s="4"/>
      <c r="O158" s="4"/>
      <c r="P158" s="4"/>
      <c r="Q158" s="4"/>
      <c r="R158" s="4"/>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row>
    <row r="159" spans="1:182" ht="12.75">
      <c r="A159" s="1"/>
      <c r="B159" s="3"/>
      <c r="C159" s="1"/>
      <c r="D159" s="28"/>
      <c r="H159" s="4"/>
      <c r="I159" s="4"/>
      <c r="J159" s="4"/>
      <c r="K159" s="4"/>
      <c r="L159" s="4"/>
      <c r="M159" s="4"/>
      <c r="N159" s="4"/>
      <c r="O159" s="4"/>
      <c r="P159" s="4"/>
      <c r="Q159" s="4"/>
      <c r="R159" s="4"/>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row>
    <row r="160" spans="1:182" ht="12.75">
      <c r="A160" s="1"/>
      <c r="B160" s="3"/>
      <c r="C160" s="1"/>
      <c r="D160" s="28"/>
      <c r="H160" s="4"/>
      <c r="I160" s="4"/>
      <c r="J160" s="4"/>
      <c r="K160" s="4"/>
      <c r="L160" s="4"/>
      <c r="M160" s="4"/>
      <c r="N160" s="4"/>
      <c r="O160" s="4"/>
      <c r="P160" s="4"/>
      <c r="Q160" s="4"/>
      <c r="R160" s="4"/>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row>
    <row r="161" spans="1:182" ht="12.75">
      <c r="A161" s="1"/>
      <c r="B161" s="3"/>
      <c r="C161" s="1"/>
      <c r="D161" s="28"/>
      <c r="H161" s="4"/>
      <c r="I161" s="4"/>
      <c r="J161" s="4"/>
      <c r="K161" s="4"/>
      <c r="L161" s="4"/>
      <c r="M161" s="4"/>
      <c r="N161" s="4"/>
      <c r="O161" s="4"/>
      <c r="P161" s="4"/>
      <c r="Q161" s="4"/>
      <c r="R161" s="4"/>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row>
    <row r="162" spans="1:182" ht="12.75">
      <c r="A162" s="1"/>
      <c r="B162" s="3"/>
      <c r="C162" s="1"/>
      <c r="D162" s="28"/>
      <c r="H162" s="4"/>
      <c r="I162" s="4"/>
      <c r="J162" s="4"/>
      <c r="K162" s="4"/>
      <c r="L162" s="4"/>
      <c r="M162" s="4"/>
      <c r="N162" s="4"/>
      <c r="O162" s="4"/>
      <c r="P162" s="4"/>
      <c r="Q162" s="4"/>
      <c r="R162" s="4"/>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row>
    <row r="163" spans="1:182" ht="12.75">
      <c r="A163" s="1"/>
      <c r="B163" s="3"/>
      <c r="C163" s="1"/>
      <c r="D163" s="28"/>
      <c r="H163" s="4"/>
      <c r="I163" s="4"/>
      <c r="J163" s="4"/>
      <c r="K163" s="4"/>
      <c r="L163" s="4"/>
      <c r="M163" s="4"/>
      <c r="N163" s="4"/>
      <c r="O163" s="4"/>
      <c r="P163" s="4"/>
      <c r="Q163" s="4"/>
      <c r="R163" s="4"/>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row>
    <row r="164" spans="1:182" ht="12.75">
      <c r="A164" s="1"/>
      <c r="B164" s="3"/>
      <c r="C164" s="1"/>
      <c r="D164" s="28"/>
      <c r="H164" s="4"/>
      <c r="I164" s="4"/>
      <c r="J164" s="4"/>
      <c r="K164" s="4"/>
      <c r="L164" s="4"/>
      <c r="M164" s="4"/>
      <c r="N164" s="4"/>
      <c r="O164" s="4"/>
      <c r="P164" s="4"/>
      <c r="Q164" s="4"/>
      <c r="R164" s="4"/>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row>
    <row r="165" spans="1:182" ht="12.75">
      <c r="A165" s="1"/>
      <c r="B165" s="3"/>
      <c r="C165" s="1"/>
      <c r="D165" s="28"/>
      <c r="H165" s="4"/>
      <c r="I165" s="4"/>
      <c r="J165" s="4"/>
      <c r="K165" s="4"/>
      <c r="L165" s="4"/>
      <c r="M165" s="4"/>
      <c r="N165" s="4"/>
      <c r="O165" s="4"/>
      <c r="P165" s="4"/>
      <c r="Q165" s="4"/>
      <c r="R165" s="4"/>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row>
    <row r="166" spans="8:18" ht="12.75">
      <c r="H166" s="20"/>
      <c r="I166" s="20"/>
      <c r="J166" s="20"/>
      <c r="K166" s="20"/>
      <c r="L166" s="20"/>
      <c r="M166" s="20"/>
      <c r="N166" s="20"/>
      <c r="O166" s="20"/>
      <c r="P166" s="20"/>
      <c r="Q166" s="20"/>
      <c r="R166" s="20"/>
    </row>
    <row r="167" spans="8:18" ht="12.75">
      <c r="H167" s="20"/>
      <c r="I167" s="20"/>
      <c r="J167" s="20"/>
      <c r="K167" s="20"/>
      <c r="L167" s="20"/>
      <c r="M167" s="20"/>
      <c r="N167" s="20"/>
      <c r="O167" s="20"/>
      <c r="P167" s="20"/>
      <c r="Q167" s="20"/>
      <c r="R167" s="20"/>
    </row>
    <row r="168" spans="8:18" ht="12.75">
      <c r="H168" s="20"/>
      <c r="I168" s="20"/>
      <c r="J168" s="20"/>
      <c r="K168" s="20"/>
      <c r="L168" s="20"/>
      <c r="M168" s="20"/>
      <c r="N168" s="20"/>
      <c r="O168" s="20"/>
      <c r="P168" s="20"/>
      <c r="Q168" s="20"/>
      <c r="R168" s="20"/>
    </row>
    <row r="169" spans="8:18" ht="12.75">
      <c r="H169" s="20"/>
      <c r="I169" s="20"/>
      <c r="J169" s="20"/>
      <c r="K169" s="20"/>
      <c r="L169" s="20"/>
      <c r="M169" s="20"/>
      <c r="N169" s="20"/>
      <c r="O169" s="20"/>
      <c r="P169" s="20"/>
      <c r="Q169" s="20"/>
      <c r="R169" s="20"/>
    </row>
    <row r="170" spans="8:18" ht="12.75">
      <c r="H170" s="20"/>
      <c r="I170" s="20"/>
      <c r="J170" s="20"/>
      <c r="K170" s="20"/>
      <c r="L170" s="20"/>
      <c r="M170" s="20"/>
      <c r="N170" s="20"/>
      <c r="O170" s="20"/>
      <c r="P170" s="20"/>
      <c r="Q170" s="20"/>
      <c r="R170" s="20"/>
    </row>
    <row r="171" spans="8:18" ht="12.75">
      <c r="H171" s="20"/>
      <c r="I171" s="20"/>
      <c r="J171" s="20"/>
      <c r="K171" s="20"/>
      <c r="L171" s="20"/>
      <c r="M171" s="20"/>
      <c r="N171" s="20"/>
      <c r="O171" s="20"/>
      <c r="P171" s="20"/>
      <c r="Q171" s="20"/>
      <c r="R171" s="20"/>
    </row>
    <row r="172" spans="8:18" ht="12.75">
      <c r="H172" s="20"/>
      <c r="I172" s="20"/>
      <c r="J172" s="20"/>
      <c r="K172" s="20"/>
      <c r="L172" s="20"/>
      <c r="M172" s="20"/>
      <c r="N172" s="20"/>
      <c r="O172" s="20"/>
      <c r="P172" s="20"/>
      <c r="Q172" s="20"/>
      <c r="R172" s="20"/>
    </row>
    <row r="173" spans="8:18" ht="12.75">
      <c r="H173" s="20"/>
      <c r="I173" s="20"/>
      <c r="J173" s="20"/>
      <c r="K173" s="20"/>
      <c r="L173" s="20"/>
      <c r="M173" s="20"/>
      <c r="N173" s="20"/>
      <c r="O173" s="20"/>
      <c r="P173" s="20"/>
      <c r="Q173" s="20"/>
      <c r="R173" s="20"/>
    </row>
    <row r="174" spans="8:18" ht="12.75">
      <c r="H174" s="20"/>
      <c r="I174" s="20"/>
      <c r="J174" s="20"/>
      <c r="K174" s="20"/>
      <c r="L174" s="20"/>
      <c r="M174" s="20"/>
      <c r="N174" s="20"/>
      <c r="O174" s="20"/>
      <c r="P174" s="20"/>
      <c r="Q174" s="20"/>
      <c r="R174" s="20"/>
    </row>
    <row r="175" spans="8:18" ht="12.75">
      <c r="H175" s="20"/>
      <c r="I175" s="20"/>
      <c r="J175" s="20"/>
      <c r="K175" s="20"/>
      <c r="L175" s="20"/>
      <c r="M175" s="20"/>
      <c r="N175" s="20"/>
      <c r="O175" s="20"/>
      <c r="P175" s="20"/>
      <c r="Q175" s="20"/>
      <c r="R175" s="20"/>
    </row>
  </sheetData>
  <sheetProtection password="C687" sheet="1" objects="1" scenarios="1"/>
  <conditionalFormatting sqref="B63 H99:Q104 I68:J85 H92:Q94 H87:Q90 H96:Q97 H71:H85 L37:L85 O16:O85 P32:Q85 L16:L32 H4:Q15 I16:J61 H16:H69 K16:K85 P16:Q30 M16:N30 M32:N85">
    <cfRule type="cellIs" priority="26" dxfId="24" operator="equal" stopIfTrue="1">
      <formula>999</formula>
    </cfRule>
  </conditionalFormatting>
  <conditionalFormatting sqref="B99:B100 B70 B79:B82 B85 B87:B90 B92:B94 B96:B97 B4 B7 B9 B13 B17 B27:B36 B39:B48">
    <cfRule type="cellIs" priority="28" dxfId="94" operator="equal" stopIfTrue="1">
      <formula>0</formula>
    </cfRule>
  </conditionalFormatting>
  <conditionalFormatting sqref="B5 B10 B14 B18">
    <cfRule type="expression" priority="29" dxfId="93" stopIfTrue="1">
      <formula>AND(B4="no",B5=0)</formula>
    </cfRule>
  </conditionalFormatting>
  <conditionalFormatting sqref="B6">
    <cfRule type="expression" priority="30" dxfId="93" stopIfTrue="1">
      <formula>B5="no"</formula>
    </cfRule>
  </conditionalFormatting>
  <conditionalFormatting sqref="B15">
    <cfRule type="expression" priority="32" dxfId="93" stopIfTrue="1">
      <formula>AND(B13="unavilable in community",B15=0)</formula>
    </cfRule>
  </conditionalFormatting>
  <conditionalFormatting sqref="B72 B20 B24">
    <cfRule type="cellIs" priority="33" dxfId="94" operator="equal" stopIfTrue="1">
      <formula>""</formula>
    </cfRule>
  </conditionalFormatting>
  <conditionalFormatting sqref="B62 B64:B65 B67">
    <cfRule type="cellIs" priority="34" dxfId="92" operator="equal" stopIfTrue="1">
      <formula>0</formula>
    </cfRule>
  </conditionalFormatting>
  <conditionalFormatting sqref="B74 B76">
    <cfRule type="cellIs" priority="35" dxfId="93" operator="equal" stopIfTrue="1">
      <formula>0</formula>
    </cfRule>
  </conditionalFormatting>
  <conditionalFormatting sqref="B11">
    <cfRule type="expression" priority="44" dxfId="94" stopIfTrue="1">
      <formula>OR(AND(B9="no",B11=0),AND(B9="unavailable in community",B11=0))</formula>
    </cfRule>
  </conditionalFormatting>
  <conditionalFormatting sqref="B51:B60">
    <cfRule type="cellIs" priority="45" dxfId="94" operator="equal" stopIfTrue="1">
      <formula>0</formula>
    </cfRule>
    <cfRule type="expression" priority="46" dxfId="0" stopIfTrue="1">
      <formula>AND($B51="Yes",$D51=0)</formula>
    </cfRule>
    <cfRule type="cellIs" priority="47" dxfId="18" operator="equal" stopIfTrue="1">
      <formula>"yes"</formula>
    </cfRule>
  </conditionalFormatting>
  <conditionalFormatting sqref="D51:D60">
    <cfRule type="expression" priority="48" dxfId="21" stopIfTrue="1">
      <formula>AND($B51="Yes",$D51="")</formula>
    </cfRule>
  </conditionalFormatting>
  <conditionalFormatting sqref="C51:C60">
    <cfRule type="expression" priority="49" dxfId="22" stopIfTrue="1">
      <formula>D51&lt;&gt;""</formula>
    </cfRule>
  </conditionalFormatting>
  <dataValidations count="5">
    <dataValidation type="list" allowBlank="1" showInputMessage="1" showErrorMessage="1" sqref="B90 B85 B87:B88 B70 B79:B82 B92:B94 B99:B100 B96:B97 B11 B4 B17 B7 B27:B36 B15 B39:B48 B51:B60">
      <formula1>$E$4:$E$5</formula1>
    </dataValidation>
    <dataValidation type="list" allowBlank="1" showInputMessage="1" showErrorMessage="1" sqref="B89">
      <formula1>$E$15:$E$17</formula1>
    </dataValidation>
    <dataValidation type="list" allowBlank="1" showInputMessage="1" showErrorMessage="1" sqref="B72">
      <formula1>$E$11:$E$13</formula1>
    </dataValidation>
    <dataValidation type="list" allowBlank="1" showInputMessage="1" showErrorMessage="1" sqref="B18 B5 B10 B14">
      <formula1>$E$8:$E$9</formula1>
    </dataValidation>
    <dataValidation type="list" allowBlank="1" showInputMessage="1" showErrorMessage="1" sqref="B9 B13">
      <formula1>$E$4:$E$6</formula1>
    </dataValidation>
  </dataValidations>
  <printOptions/>
  <pageMargins left="0.75" right="0.75" top="1.25" bottom="1" header="0.5" footer="0.5"/>
  <pageSetup fitToHeight="2" horizontalDpi="600" verticalDpi="600" orientation="portrait" scale="69" r:id="rId2"/>
  <headerFooter>
    <oddHeader>&amp;L&amp;"Arial Narrow,Bold"&amp;11FOCUS WV Brownfields Mini-Grant Program 
Land Use Decision Enhancer Tool:
&amp;A, Page &amp;P of &amp;N&amp;R&amp;"Arial Narrow,Bold"Today's Date: &amp;D
&amp;"Arial Narrow,Regular"Prepared by: SRA International, Inc. and Vita Nuova, LLC</oddHeader>
    <oddFooter>&amp;L&amp;G&amp;C&amp;"Arial Narrow,Regular"This tool should not be used independently or as a primary reuse decision making tool. Reuse and
investment planning should be based on unique drivers, detailed valuation tools, and local knowledge of the site.&amp;R  &amp;G</oddFooter>
  </headerFooter>
  <rowBreaks count="1" manualBreakCount="1">
    <brk id="48" max="3" man="1"/>
  </rowBreaks>
  <legacyDrawingHF r:id="rId1"/>
</worksheet>
</file>

<file path=xl/worksheets/sheet4.xml><?xml version="1.0" encoding="utf-8"?>
<worksheet xmlns="http://schemas.openxmlformats.org/spreadsheetml/2006/main" xmlns:r="http://schemas.openxmlformats.org/officeDocument/2006/relationships">
  <sheetPr>
    <tabColor indexed="56"/>
  </sheetPr>
  <dimension ref="A1:W115"/>
  <sheetViews>
    <sheetView zoomScalePageLayoutView="0" workbookViewId="0" topLeftCell="A1">
      <pane xSplit="3" ySplit="1" topLeftCell="D2" activePane="bottomRight" state="frozen"/>
      <selection pane="topLeft" activeCell="D2" sqref="D2"/>
      <selection pane="topRight" activeCell="D2" sqref="D2"/>
      <selection pane="bottomLeft" activeCell="D2" sqref="D2"/>
      <selection pane="bottomRight" activeCell="D2" sqref="D2"/>
    </sheetView>
  </sheetViews>
  <sheetFormatPr defaultColWidth="9.140625" defaultRowHeight="12.75" outlineLevelCol="1"/>
  <cols>
    <col min="1" max="1" width="47.140625" style="11" customWidth="1"/>
    <col min="2" max="2" width="35.00390625" style="240" customWidth="1"/>
    <col min="3" max="3" width="9.140625" style="1" customWidth="1"/>
    <col min="4" max="4" width="9.140625" style="28" customWidth="1"/>
    <col min="5" max="5" width="35.7109375" style="28" hidden="1" customWidth="1" outlineLevel="1"/>
    <col min="6" max="6" width="8.28125" style="28" customWidth="1" collapsed="1"/>
    <col min="7" max="7" width="9.140625" style="28" hidden="1" customWidth="1" outlineLevel="1"/>
    <col min="8" max="17" width="9.140625" style="1" hidden="1" customWidth="1" outlineLevel="1"/>
    <col min="18" max="18" width="9.140625" style="1" customWidth="1" collapsed="1"/>
    <col min="19" max="16384" width="9.140625" style="1" customWidth="1"/>
  </cols>
  <sheetData>
    <row r="1" spans="1:23" s="28" customFormat="1" ht="13.5">
      <c r="A1" s="273" t="s">
        <v>311</v>
      </c>
      <c r="B1" s="274"/>
      <c r="C1" s="93"/>
      <c r="D1" s="288"/>
      <c r="E1" s="288"/>
      <c r="F1" s="288"/>
      <c r="G1" s="288"/>
      <c r="H1" s="288"/>
      <c r="I1" s="288"/>
      <c r="J1" s="288"/>
      <c r="K1" s="288"/>
      <c r="L1" s="288"/>
      <c r="M1" s="288"/>
      <c r="N1" s="288"/>
      <c r="O1" s="288"/>
      <c r="P1" s="288"/>
      <c r="Q1" s="288"/>
      <c r="R1" s="288"/>
      <c r="S1" s="288"/>
      <c r="T1" s="288"/>
      <c r="U1" s="288"/>
      <c r="V1" s="288"/>
      <c r="W1" s="288"/>
    </row>
    <row r="2" spans="1:23" s="28" customFormat="1" ht="16.5">
      <c r="A2" s="276">
        <f>IF('1. Property'!B4="","",'1. Property'!B4)</f>
      </c>
      <c r="B2" s="277"/>
      <c r="C2" s="286"/>
      <c r="D2" s="288"/>
      <c r="E2" s="288"/>
      <c r="F2" s="288"/>
      <c r="G2" s="288"/>
      <c r="H2" s="288"/>
      <c r="I2" s="288"/>
      <c r="J2" s="288"/>
      <c r="K2" s="288"/>
      <c r="L2" s="288"/>
      <c r="M2" s="288"/>
      <c r="N2" s="288"/>
      <c r="O2" s="288"/>
      <c r="P2" s="288"/>
      <c r="Q2" s="288"/>
      <c r="R2" s="288"/>
      <c r="S2" s="288"/>
      <c r="T2" s="288"/>
      <c r="U2" s="288"/>
      <c r="V2" s="288"/>
      <c r="W2" s="288"/>
    </row>
    <row r="3" spans="1:17" ht="12.75">
      <c r="A3" s="8" t="s">
        <v>191</v>
      </c>
      <c r="B3" s="235"/>
      <c r="C3" s="9"/>
      <c r="D3" s="22"/>
      <c r="E3" s="24" t="s">
        <v>189</v>
      </c>
      <c r="F3" s="29"/>
      <c r="G3" s="29"/>
      <c r="H3" s="4" t="s">
        <v>20</v>
      </c>
      <c r="I3" s="4" t="s">
        <v>161</v>
      </c>
      <c r="J3" s="4" t="s">
        <v>22</v>
      </c>
      <c r="K3" s="4" t="s">
        <v>0</v>
      </c>
      <c r="L3" s="4" t="s">
        <v>28</v>
      </c>
      <c r="M3" s="4" t="s">
        <v>162</v>
      </c>
      <c r="N3" s="4" t="s">
        <v>23</v>
      </c>
      <c r="O3" s="4" t="s">
        <v>220</v>
      </c>
      <c r="P3" s="4" t="s">
        <v>156</v>
      </c>
      <c r="Q3" s="4" t="s">
        <v>165</v>
      </c>
    </row>
    <row r="4" spans="1:17" ht="12.75">
      <c r="A4" s="18" t="s">
        <v>115</v>
      </c>
      <c r="B4" s="236"/>
      <c r="D4" s="14"/>
      <c r="E4" s="39" t="s">
        <v>116</v>
      </c>
      <c r="G4" s="33" t="s">
        <v>180</v>
      </c>
      <c r="H4" s="36">
        <f aca="true" t="shared" si="0" ref="H4:Q4">IF(MAX(H5:H119)=999,999,SUM(H5:H119))</f>
        <v>0</v>
      </c>
      <c r="I4" s="36">
        <f t="shared" si="0"/>
        <v>0</v>
      </c>
      <c r="J4" s="36">
        <f t="shared" si="0"/>
        <v>0</v>
      </c>
      <c r="K4" s="36">
        <f t="shared" si="0"/>
        <v>0</v>
      </c>
      <c r="L4" s="36">
        <f t="shared" si="0"/>
        <v>0</v>
      </c>
      <c r="M4" s="36">
        <f t="shared" si="0"/>
        <v>0</v>
      </c>
      <c r="N4" s="36">
        <f t="shared" si="0"/>
        <v>0</v>
      </c>
      <c r="O4" s="36">
        <f t="shared" si="0"/>
        <v>0</v>
      </c>
      <c r="P4" s="36">
        <f t="shared" si="0"/>
        <v>0</v>
      </c>
      <c r="Q4" s="36">
        <f t="shared" si="0"/>
        <v>0</v>
      </c>
    </row>
    <row r="5" spans="1:17" ht="12.75">
      <c r="A5" s="18"/>
      <c r="B5" s="237"/>
      <c r="D5" s="14"/>
      <c r="E5" s="39" t="s">
        <v>117</v>
      </c>
      <c r="H5" s="37">
        <f>IF($B4=$E$4,-1,IF($B4=$E$7,1,0))</f>
        <v>0</v>
      </c>
      <c r="I5" s="37">
        <f>IF($B4=$E$4,-1,IF($B4=$E$7,1,0))</f>
        <v>0</v>
      </c>
      <c r="J5" s="37">
        <f>IF($B4=$E$4,-1,IF($B4=$E$7,1,0))</f>
        <v>0</v>
      </c>
      <c r="K5" s="37">
        <f aca="true" t="shared" si="1" ref="K5:Q5">IF($B4=$E$7,1,0)</f>
        <v>0</v>
      </c>
      <c r="L5" s="37">
        <f t="shared" si="1"/>
        <v>0</v>
      </c>
      <c r="M5" s="37">
        <f t="shared" si="1"/>
        <v>0</v>
      </c>
      <c r="N5" s="37">
        <f t="shared" si="1"/>
        <v>0</v>
      </c>
      <c r="O5" s="37">
        <f t="shared" si="1"/>
        <v>0</v>
      </c>
      <c r="P5" s="37">
        <f t="shared" si="1"/>
        <v>0</v>
      </c>
      <c r="Q5" s="37">
        <f t="shared" si="1"/>
        <v>0</v>
      </c>
    </row>
    <row r="6" spans="1:17" ht="12.75">
      <c r="A6" s="18" t="s">
        <v>119</v>
      </c>
      <c r="B6" s="236"/>
      <c r="E6" s="39" t="s">
        <v>118</v>
      </c>
      <c r="H6" s="37"/>
      <c r="I6" s="37"/>
      <c r="J6" s="37"/>
      <c r="K6" s="37"/>
      <c r="L6" s="37"/>
      <c r="M6" s="37"/>
      <c r="N6" s="37"/>
      <c r="O6" s="37"/>
      <c r="P6" s="37"/>
      <c r="Q6" s="37"/>
    </row>
    <row r="7" spans="1:17" ht="12.75">
      <c r="A7" s="18"/>
      <c r="B7" s="4"/>
      <c r="E7" s="39" t="s">
        <v>190</v>
      </c>
      <c r="H7" s="37"/>
      <c r="I7" s="37"/>
      <c r="J7" s="37"/>
      <c r="K7" s="37"/>
      <c r="L7" s="37"/>
      <c r="M7" s="37"/>
      <c r="N7" s="37"/>
      <c r="O7" s="37"/>
      <c r="P7" s="37"/>
      <c r="Q7" s="37"/>
    </row>
    <row r="8" spans="1:17" ht="12.75">
      <c r="A8" s="18" t="s">
        <v>132</v>
      </c>
      <c r="B8" s="238"/>
      <c r="E8" s="39"/>
      <c r="H8" s="37"/>
      <c r="I8" s="37"/>
      <c r="J8" s="37"/>
      <c r="K8" s="37"/>
      <c r="L8" s="37"/>
      <c r="M8" s="37"/>
      <c r="N8" s="37"/>
      <c r="O8" s="37"/>
      <c r="P8" s="37"/>
      <c r="Q8" s="37"/>
    </row>
    <row r="9" spans="1:17" ht="12.75">
      <c r="A9" s="6">
        <f>IF(B8="Yes","If yes, what land use does the plan call for? (check all that apply)","")</f>
      </c>
      <c r="B9" s="239"/>
      <c r="E9" s="39" t="s">
        <v>120</v>
      </c>
      <c r="H9" s="37"/>
      <c r="I9" s="37"/>
      <c r="J9" s="37"/>
      <c r="K9" s="37"/>
      <c r="L9" s="37"/>
      <c r="M9" s="37"/>
      <c r="N9" s="37"/>
      <c r="O9" s="37"/>
      <c r="P9" s="37"/>
      <c r="Q9" s="37"/>
    </row>
    <row r="10" spans="1:17" ht="12.75">
      <c r="A10" s="6">
        <f>IF($B$8="Yes",$H$3,"")</f>
      </c>
      <c r="B10" s="107"/>
      <c r="E10" s="39" t="s">
        <v>121</v>
      </c>
      <c r="H10" s="37">
        <f>IF($B10="Yes",1,0)</f>
        <v>0</v>
      </c>
      <c r="I10" s="37"/>
      <c r="J10" s="37"/>
      <c r="K10" s="37"/>
      <c r="L10" s="37"/>
      <c r="M10" s="37"/>
      <c r="N10" s="37"/>
      <c r="O10" s="37"/>
      <c r="P10" s="37"/>
      <c r="Q10" s="37"/>
    </row>
    <row r="11" spans="1:17" ht="12.75">
      <c r="A11" s="6">
        <f>IF($B$8="Yes",$I$3,"")</f>
      </c>
      <c r="B11" s="107"/>
      <c r="E11" s="39" t="s">
        <v>122</v>
      </c>
      <c r="H11" s="37"/>
      <c r="I11" s="37">
        <f>IF($B11="Yes",1,0)</f>
        <v>0</v>
      </c>
      <c r="J11" s="37"/>
      <c r="K11" s="37"/>
      <c r="L11" s="37"/>
      <c r="M11" s="37"/>
      <c r="N11" s="37"/>
      <c r="O11" s="37"/>
      <c r="P11" s="37"/>
      <c r="Q11" s="37"/>
    </row>
    <row r="12" spans="1:17" ht="12.75">
      <c r="A12" s="6">
        <f>IF($B$8="Yes",$J$3,"")</f>
      </c>
      <c r="B12" s="107"/>
      <c r="E12" s="39"/>
      <c r="H12" s="37"/>
      <c r="I12" s="37"/>
      <c r="J12" s="37">
        <f>IF($B12="Yes",1,0)</f>
        <v>0</v>
      </c>
      <c r="K12" s="37"/>
      <c r="L12" s="37"/>
      <c r="M12" s="37"/>
      <c r="N12" s="37"/>
      <c r="O12" s="37"/>
      <c r="P12" s="37"/>
      <c r="Q12" s="37"/>
    </row>
    <row r="13" spans="1:17" ht="12.75">
      <c r="A13" s="6">
        <f>IF($B$8="Yes",$K$3,"")</f>
      </c>
      <c r="B13" s="107"/>
      <c r="E13" s="39" t="s">
        <v>21</v>
      </c>
      <c r="H13" s="37"/>
      <c r="I13" s="37"/>
      <c r="J13" s="37"/>
      <c r="K13" s="37">
        <f>IF($B13="Yes",1,0)</f>
        <v>0</v>
      </c>
      <c r="L13" s="37"/>
      <c r="M13" s="37"/>
      <c r="N13" s="37"/>
      <c r="O13" s="37"/>
      <c r="P13" s="37"/>
      <c r="Q13" s="37"/>
    </row>
    <row r="14" spans="1:17" ht="12.75">
      <c r="A14" s="6">
        <f>IF($B$8="Yes",$L$3,"")</f>
      </c>
      <c r="B14" s="107"/>
      <c r="E14" s="40" t="s">
        <v>22</v>
      </c>
      <c r="H14" s="37"/>
      <c r="I14" s="37"/>
      <c r="J14" s="37"/>
      <c r="K14" s="37"/>
      <c r="L14" s="37">
        <f>IF($B14="Yes",1,0)</f>
        <v>0</v>
      </c>
      <c r="M14" s="37"/>
      <c r="N14" s="37"/>
      <c r="O14" s="37"/>
      <c r="P14" s="37"/>
      <c r="Q14" s="37"/>
    </row>
    <row r="15" spans="1:17" ht="12.75">
      <c r="A15" s="6">
        <f>IF($B$8="Yes",$M$3,"")</f>
      </c>
      <c r="B15" s="107"/>
      <c r="E15" s="40" t="s">
        <v>29</v>
      </c>
      <c r="H15" s="37"/>
      <c r="I15" s="37"/>
      <c r="J15" s="37"/>
      <c r="K15" s="37"/>
      <c r="L15" s="37"/>
      <c r="M15" s="37">
        <f>IF($B15="Yes",1,0)</f>
        <v>0</v>
      </c>
      <c r="N15" s="37"/>
      <c r="O15" s="37"/>
      <c r="P15" s="37"/>
      <c r="Q15" s="37"/>
    </row>
    <row r="16" spans="1:17" ht="12.75">
      <c r="A16" s="6">
        <f>IF($B$8="Yes",$N$3,"")</f>
      </c>
      <c r="B16" s="107"/>
      <c r="E16" s="40" t="s">
        <v>30</v>
      </c>
      <c r="H16" s="37"/>
      <c r="I16" s="37"/>
      <c r="J16" s="37"/>
      <c r="K16" s="37"/>
      <c r="L16" s="37"/>
      <c r="M16" s="37"/>
      <c r="N16" s="37">
        <f>IF($B16="Yes",1,0)</f>
        <v>0</v>
      </c>
      <c r="O16" s="37"/>
      <c r="P16" s="37"/>
      <c r="Q16" s="37"/>
    </row>
    <row r="17" spans="1:17" ht="12.75">
      <c r="A17" s="6">
        <f>IF($B$8="Yes",$O$3,"")</f>
      </c>
      <c r="B17" s="107"/>
      <c r="E17" s="40" t="s">
        <v>123</v>
      </c>
      <c r="H17" s="37"/>
      <c r="I17" s="37"/>
      <c r="J17" s="37"/>
      <c r="K17" s="37"/>
      <c r="L17" s="37"/>
      <c r="M17" s="37"/>
      <c r="N17" s="37"/>
      <c r="O17" s="37">
        <f>IF($B17="Yes",1,0)</f>
        <v>0</v>
      </c>
      <c r="P17" s="37"/>
      <c r="Q17" s="37"/>
    </row>
    <row r="18" spans="1:17" ht="12.75">
      <c r="A18" s="6">
        <f>IF($B$8="Yes",$P$3,"")</f>
      </c>
      <c r="B18" s="107"/>
      <c r="E18" s="40"/>
      <c r="F18" s="38"/>
      <c r="G18" s="38"/>
      <c r="H18" s="37"/>
      <c r="I18" s="37"/>
      <c r="J18" s="37"/>
      <c r="K18" s="37"/>
      <c r="L18" s="37"/>
      <c r="M18" s="37"/>
      <c r="N18" s="37"/>
      <c r="O18" s="37"/>
      <c r="P18" s="37">
        <f>IF($B18="Yes",1,0)</f>
        <v>0</v>
      </c>
      <c r="Q18" s="37"/>
    </row>
    <row r="19" spans="1:17" ht="12.75">
      <c r="A19" s="6">
        <f>IF($B$8="Yes",$Q$3,"")</f>
      </c>
      <c r="B19" s="107"/>
      <c r="E19" s="40"/>
      <c r="F19" s="38"/>
      <c r="G19" s="38"/>
      <c r="H19" s="37"/>
      <c r="I19" s="37"/>
      <c r="J19" s="37"/>
      <c r="K19" s="37"/>
      <c r="L19" s="37"/>
      <c r="M19" s="37"/>
      <c r="N19" s="37"/>
      <c r="O19" s="37"/>
      <c r="P19" s="37"/>
      <c r="Q19" s="37">
        <f>IF($B19="Yes",1,0)</f>
        <v>0</v>
      </c>
    </row>
    <row r="20" spans="1:17" ht="12.75">
      <c r="A20" s="1"/>
      <c r="B20" s="4"/>
      <c r="E20" s="40" t="s">
        <v>125</v>
      </c>
      <c r="F20" s="38"/>
      <c r="G20" s="38"/>
      <c r="H20" s="37"/>
      <c r="I20" s="37"/>
      <c r="J20" s="37"/>
      <c r="K20" s="37"/>
      <c r="L20" s="37"/>
      <c r="M20" s="37"/>
      <c r="N20" s="37"/>
      <c r="O20" s="37"/>
      <c r="P20" s="37"/>
      <c r="Q20" s="37"/>
    </row>
    <row r="21" spans="1:17" ht="12.75">
      <c r="A21" s="1" t="s">
        <v>124</v>
      </c>
      <c r="B21" s="238"/>
      <c r="E21" s="40" t="s">
        <v>126</v>
      </c>
      <c r="F21" s="38"/>
      <c r="G21" s="38"/>
      <c r="H21" s="37"/>
      <c r="I21" s="37"/>
      <c r="J21" s="37"/>
      <c r="K21" s="37"/>
      <c r="L21" s="37"/>
      <c r="M21" s="37"/>
      <c r="N21" s="37"/>
      <c r="O21" s="37"/>
      <c r="P21" s="37"/>
      <c r="Q21" s="37"/>
    </row>
    <row r="22" spans="1:17" ht="12.75">
      <c r="A22" s="6">
        <f>IF(B21="Yes","If yes, what types of drivers? (check all that apply)","")</f>
      </c>
      <c r="B22" s="239"/>
      <c r="E22" s="40" t="s">
        <v>127</v>
      </c>
      <c r="F22" s="38"/>
      <c r="G22" s="38"/>
      <c r="H22" s="37"/>
      <c r="I22" s="37"/>
      <c r="J22" s="37"/>
      <c r="K22" s="37"/>
      <c r="L22" s="37"/>
      <c r="M22" s="37"/>
      <c r="N22" s="37"/>
      <c r="O22" s="37"/>
      <c r="P22" s="37"/>
      <c r="Q22" s="37"/>
    </row>
    <row r="23" spans="1:17" ht="12.75">
      <c r="A23" s="3">
        <f aca="true" t="shared" si="2" ref="A23:A29">IF($B$21="Yes",E20,"")</f>
      </c>
      <c r="B23" s="107"/>
      <c r="E23" s="40" t="s">
        <v>128</v>
      </c>
      <c r="F23" s="38"/>
      <c r="G23" s="38"/>
      <c r="H23" s="37"/>
      <c r="I23" s="37"/>
      <c r="J23" s="37"/>
      <c r="K23" s="37">
        <f>IF($B23="Yes",1,0)</f>
        <v>0</v>
      </c>
      <c r="L23" s="37"/>
      <c r="M23" s="37"/>
      <c r="N23" s="37"/>
      <c r="O23" s="37"/>
      <c r="P23" s="37">
        <f>IF($B23="Yes",1,0)</f>
        <v>0</v>
      </c>
      <c r="Q23" s="37"/>
    </row>
    <row r="24" spans="1:17" ht="12.75">
      <c r="A24" s="3">
        <f t="shared" si="2"/>
      </c>
      <c r="B24" s="107"/>
      <c r="E24" s="40" t="s">
        <v>129</v>
      </c>
      <c r="F24" s="38"/>
      <c r="G24" s="38"/>
      <c r="H24" s="37"/>
      <c r="I24" s="37"/>
      <c r="J24" s="37"/>
      <c r="K24" s="37"/>
      <c r="L24" s="37"/>
      <c r="M24" s="37">
        <f>IF($B24="Yes",1,0)</f>
        <v>0</v>
      </c>
      <c r="N24" s="37"/>
      <c r="O24" s="37"/>
      <c r="P24" s="37">
        <f>IF($B24="Yes",1,0)</f>
        <v>0</v>
      </c>
      <c r="Q24" s="37"/>
    </row>
    <row r="25" spans="1:17" ht="12.75">
      <c r="A25" s="3">
        <f t="shared" si="2"/>
      </c>
      <c r="B25" s="107"/>
      <c r="E25" s="40" t="s">
        <v>130</v>
      </c>
      <c r="F25" s="38"/>
      <c r="G25" s="38"/>
      <c r="H25" s="37"/>
      <c r="I25" s="37"/>
      <c r="J25" s="37"/>
      <c r="K25" s="37"/>
      <c r="L25" s="37"/>
      <c r="M25" s="37">
        <f>IF($B25="Yes",1,0)</f>
        <v>0</v>
      </c>
      <c r="N25" s="37"/>
      <c r="O25" s="37"/>
      <c r="P25" s="37"/>
      <c r="Q25" s="37"/>
    </row>
    <row r="26" spans="1:17" ht="12.75">
      <c r="A26" s="3">
        <f t="shared" si="2"/>
      </c>
      <c r="B26" s="107"/>
      <c r="E26" s="40" t="s">
        <v>131</v>
      </c>
      <c r="F26" s="38"/>
      <c r="G26" s="38"/>
      <c r="H26" s="37">
        <f aca="true" t="shared" si="3" ref="H26:J27">IF($B26="Yes",1,0)</f>
        <v>0</v>
      </c>
      <c r="I26" s="37">
        <f t="shared" si="3"/>
        <v>0</v>
      </c>
      <c r="J26" s="37">
        <f t="shared" si="3"/>
        <v>0</v>
      </c>
      <c r="K26" s="37"/>
      <c r="L26" s="37"/>
      <c r="M26" s="37"/>
      <c r="N26" s="37">
        <f>IF($B26="Yes",1,0)</f>
        <v>0</v>
      </c>
      <c r="O26" s="37"/>
      <c r="P26" s="37"/>
      <c r="Q26" s="37"/>
    </row>
    <row r="27" spans="1:17" ht="12.75">
      <c r="A27" s="3">
        <f t="shared" si="2"/>
      </c>
      <c r="B27" s="107"/>
      <c r="E27" s="39"/>
      <c r="F27" s="38"/>
      <c r="G27" s="38"/>
      <c r="H27" s="37">
        <f t="shared" si="3"/>
        <v>0</v>
      </c>
      <c r="I27" s="37">
        <f t="shared" si="3"/>
        <v>0</v>
      </c>
      <c r="J27" s="37">
        <f t="shared" si="3"/>
        <v>0</v>
      </c>
      <c r="K27" s="37"/>
      <c r="L27" s="37"/>
      <c r="M27" s="37"/>
      <c r="N27" s="37"/>
      <c r="O27" s="37"/>
      <c r="P27" s="37"/>
      <c r="Q27" s="37"/>
    </row>
    <row r="28" spans="1:17" ht="12.75">
      <c r="A28" s="3">
        <f t="shared" si="2"/>
      </c>
      <c r="B28" s="107"/>
      <c r="E28" s="40" t="s">
        <v>133</v>
      </c>
      <c r="F28" s="38"/>
      <c r="G28" s="38"/>
      <c r="H28" s="37">
        <f>IF($B28="Yes",1,0)</f>
        <v>0</v>
      </c>
      <c r="I28" s="37">
        <f>IF($B28="Yes",1,0)</f>
        <v>0</v>
      </c>
      <c r="J28" s="37"/>
      <c r="K28" s="37"/>
      <c r="L28" s="37"/>
      <c r="M28" s="37"/>
      <c r="N28" s="37"/>
      <c r="O28" s="37"/>
      <c r="P28" s="37"/>
      <c r="Q28" s="37"/>
    </row>
    <row r="29" spans="1:17" ht="12.75">
      <c r="A29" s="3">
        <f t="shared" si="2"/>
      </c>
      <c r="B29" s="107"/>
      <c r="E29" s="40" t="s">
        <v>22</v>
      </c>
      <c r="F29" s="38"/>
      <c r="G29" s="38"/>
      <c r="H29" s="37">
        <f>IF($B29="Yes",1,0)</f>
        <v>0</v>
      </c>
      <c r="I29" s="37">
        <f>IF($B29="Yes",1,0)</f>
        <v>0</v>
      </c>
      <c r="J29" s="37"/>
      <c r="K29" s="37">
        <f>IF($B29="Yes",1,0)</f>
        <v>0</v>
      </c>
      <c r="L29" s="37"/>
      <c r="M29" s="37"/>
      <c r="N29" s="37"/>
      <c r="O29" s="37"/>
      <c r="P29" s="37"/>
      <c r="Q29" s="37"/>
    </row>
    <row r="30" spans="1:17" ht="12.75">
      <c r="A30" s="18"/>
      <c r="B30" s="4"/>
      <c r="E30" s="40" t="s">
        <v>134</v>
      </c>
      <c r="F30" s="38"/>
      <c r="G30" s="38"/>
      <c r="H30" s="37"/>
      <c r="I30" s="37"/>
      <c r="J30" s="37"/>
      <c r="K30" s="37"/>
      <c r="L30" s="37"/>
      <c r="M30" s="37"/>
      <c r="N30" s="37"/>
      <c r="O30" s="37"/>
      <c r="P30" s="37"/>
      <c r="Q30" s="37"/>
    </row>
    <row r="31" spans="1:17" ht="25.5">
      <c r="A31" s="18" t="s">
        <v>446</v>
      </c>
      <c r="B31" s="238"/>
      <c r="E31" s="40" t="s">
        <v>135</v>
      </c>
      <c r="H31" s="37"/>
      <c r="I31" s="37"/>
      <c r="J31" s="37"/>
      <c r="K31" s="37"/>
      <c r="L31" s="37"/>
      <c r="M31" s="37"/>
      <c r="N31" s="37"/>
      <c r="O31" s="37"/>
      <c r="P31" s="37"/>
      <c r="Q31" s="37"/>
    </row>
    <row r="32" spans="1:17" ht="12.75">
      <c r="A32" s="6">
        <f>IF(B31="Yes","If yes, for what type of activities? (check all that apply)","")</f>
      </c>
      <c r="B32" s="107"/>
      <c r="E32" s="40" t="s">
        <v>136</v>
      </c>
      <c r="F32" s="38"/>
      <c r="G32" s="38"/>
      <c r="H32" s="37"/>
      <c r="I32" s="37"/>
      <c r="J32" s="37"/>
      <c r="K32" s="37"/>
      <c r="L32" s="37"/>
      <c r="M32" s="37"/>
      <c r="N32" s="37"/>
      <c r="O32" s="37"/>
      <c r="P32" s="37"/>
      <c r="Q32" s="37"/>
    </row>
    <row r="33" spans="1:17" ht="12.75">
      <c r="A33" s="3">
        <f>IF($B$31="Yes",E28,"")</f>
      </c>
      <c r="B33" s="107"/>
      <c r="E33" s="40" t="s">
        <v>29</v>
      </c>
      <c r="F33" s="38"/>
      <c r="G33" s="38"/>
      <c r="H33" s="37"/>
      <c r="I33" s="37">
        <f>IF($B33="Yes",1,0)</f>
        <v>0</v>
      </c>
      <c r="J33" s="37"/>
      <c r="K33" s="37"/>
      <c r="L33" s="37"/>
      <c r="M33" s="37"/>
      <c r="N33" s="37"/>
      <c r="O33" s="37"/>
      <c r="P33" s="37"/>
      <c r="Q33" s="37"/>
    </row>
    <row r="34" spans="1:17" ht="12.75">
      <c r="A34" s="3">
        <f aca="true" t="shared" si="4" ref="A34:A39">IF($B$31="Yes",E29,"")</f>
      </c>
      <c r="B34" s="107"/>
      <c r="E34" s="40" t="s">
        <v>220</v>
      </c>
      <c r="F34" s="38"/>
      <c r="G34" s="38"/>
      <c r="H34" s="37"/>
      <c r="I34" s="37"/>
      <c r="J34" s="37">
        <f>IF($B34="Yes",1,0)</f>
        <v>0</v>
      </c>
      <c r="K34" s="37"/>
      <c r="L34" s="37"/>
      <c r="M34" s="37"/>
      <c r="N34" s="37"/>
      <c r="O34" s="37"/>
      <c r="P34" s="37"/>
      <c r="Q34" s="37"/>
    </row>
    <row r="35" spans="1:17" ht="12.75">
      <c r="A35" s="3">
        <f t="shared" si="4"/>
      </c>
      <c r="B35" s="107"/>
      <c r="C35" s="3"/>
      <c r="D35" s="22"/>
      <c r="E35" s="40"/>
      <c r="F35" s="38"/>
      <c r="G35" s="38"/>
      <c r="H35" s="37"/>
      <c r="I35" s="37">
        <f>IF($B35="Yes",1,0)</f>
        <v>0</v>
      </c>
      <c r="J35" s="37"/>
      <c r="K35" s="37">
        <f>IF($B35="Yes",1,0)</f>
        <v>0</v>
      </c>
      <c r="L35" s="37"/>
      <c r="M35" s="37"/>
      <c r="N35" s="37"/>
      <c r="O35" s="37"/>
      <c r="P35" s="37"/>
      <c r="Q35" s="37"/>
    </row>
    <row r="36" spans="1:17" ht="12.75">
      <c r="A36" s="3">
        <f t="shared" si="4"/>
      </c>
      <c r="B36" s="107"/>
      <c r="C36" s="3"/>
      <c r="D36" s="22"/>
      <c r="E36" s="39" t="s">
        <v>138</v>
      </c>
      <c r="F36" s="38"/>
      <c r="G36" s="38"/>
      <c r="H36" s="37"/>
      <c r="I36" s="37"/>
      <c r="J36" s="37"/>
      <c r="K36" s="37">
        <f>IF($B36="Yes",1,0)</f>
        <v>0</v>
      </c>
      <c r="L36" s="37">
        <f>IF($B36="Yes",1,0)</f>
        <v>0</v>
      </c>
      <c r="M36" s="37"/>
      <c r="N36" s="37"/>
      <c r="O36" s="37"/>
      <c r="P36" s="37"/>
      <c r="Q36" s="37"/>
    </row>
    <row r="37" spans="1:17" ht="12.75">
      <c r="A37" s="3">
        <f t="shared" si="4"/>
      </c>
      <c r="B37" s="107"/>
      <c r="E37" s="39" t="s">
        <v>139</v>
      </c>
      <c r="F37" s="38"/>
      <c r="G37" s="38"/>
      <c r="H37" s="37"/>
      <c r="I37" s="37"/>
      <c r="J37" s="37"/>
      <c r="K37" s="37"/>
      <c r="L37" s="37"/>
      <c r="M37" s="37">
        <f>IF($B37="Yes",1,0)</f>
        <v>0</v>
      </c>
      <c r="N37" s="37">
        <f>IF($B37="Yes",1,0)</f>
        <v>0</v>
      </c>
      <c r="O37" s="37"/>
      <c r="P37" s="37"/>
      <c r="Q37" s="37"/>
    </row>
    <row r="38" spans="1:17" ht="12.75">
      <c r="A38" s="3">
        <f t="shared" si="4"/>
      </c>
      <c r="B38" s="107"/>
      <c r="D38" s="22"/>
      <c r="E38" s="39" t="s">
        <v>192</v>
      </c>
      <c r="F38" s="38"/>
      <c r="G38" s="38"/>
      <c r="H38" s="37"/>
      <c r="I38" s="37"/>
      <c r="J38" s="37"/>
      <c r="K38" s="37">
        <f>IF($B38="Yes",1,0)</f>
        <v>0</v>
      </c>
      <c r="L38" s="37"/>
      <c r="M38" s="37"/>
      <c r="N38" s="37"/>
      <c r="O38" s="37"/>
      <c r="P38" s="37"/>
      <c r="Q38" s="37"/>
    </row>
    <row r="39" spans="1:17" ht="12.75">
      <c r="A39" s="3">
        <f t="shared" si="4"/>
      </c>
      <c r="B39" s="107"/>
      <c r="D39" s="22"/>
      <c r="E39" s="39"/>
      <c r="F39" s="38"/>
      <c r="G39" s="38"/>
      <c r="H39" s="37"/>
      <c r="I39" s="37"/>
      <c r="J39" s="37"/>
      <c r="K39" s="37">
        <f>IF($B39="Yes",1,0)</f>
        <v>0</v>
      </c>
      <c r="L39" s="37"/>
      <c r="M39" s="37"/>
      <c r="N39" s="37"/>
      <c r="O39" s="37">
        <f>IF($B39="Yes",1,0)</f>
        <v>0</v>
      </c>
      <c r="P39" s="37"/>
      <c r="Q39" s="37"/>
    </row>
    <row r="40" spans="1:17" ht="12.75">
      <c r="A40" s="3"/>
      <c r="B40" s="4"/>
      <c r="D40" s="22"/>
      <c r="E40" s="39" t="s">
        <v>138</v>
      </c>
      <c r="H40" s="37"/>
      <c r="I40" s="37"/>
      <c r="J40" s="37"/>
      <c r="K40" s="37"/>
      <c r="L40" s="37"/>
      <c r="M40" s="37"/>
      <c r="N40" s="37"/>
      <c r="O40" s="37"/>
      <c r="P40" s="37"/>
      <c r="Q40" s="37"/>
    </row>
    <row r="41" spans="1:17" ht="12.75">
      <c r="A41" s="18" t="s">
        <v>137</v>
      </c>
      <c r="B41" s="238"/>
      <c r="D41" s="22"/>
      <c r="E41" s="39" t="s">
        <v>387</v>
      </c>
      <c r="H41" s="37"/>
      <c r="I41" s="37"/>
      <c r="J41" s="37"/>
      <c r="K41" s="37"/>
      <c r="L41" s="37"/>
      <c r="M41" s="37"/>
      <c r="N41" s="37"/>
      <c r="O41" s="37"/>
      <c r="P41" s="37"/>
      <c r="Q41" s="37"/>
    </row>
    <row r="42" spans="1:17" ht="12.75">
      <c r="A42" s="6">
        <f>IF(B41="Yes","If yes, for what type of activities? (check all that apply)","")</f>
      </c>
      <c r="B42" s="107"/>
      <c r="D42" s="22"/>
      <c r="E42" s="39" t="s">
        <v>388</v>
      </c>
      <c r="H42" s="37"/>
      <c r="I42" s="37"/>
      <c r="J42" s="37"/>
      <c r="K42" s="37"/>
      <c r="L42" s="37"/>
      <c r="M42" s="37"/>
      <c r="N42" s="37"/>
      <c r="O42" s="37"/>
      <c r="P42" s="37"/>
      <c r="Q42" s="37"/>
    </row>
    <row r="43" spans="1:17" ht="12.75">
      <c r="A43" s="3">
        <f>IF($B$41="Yes",E28,"")</f>
      </c>
      <c r="B43" s="107"/>
      <c r="E43" s="39" t="s">
        <v>389</v>
      </c>
      <c r="H43" s="37"/>
      <c r="I43" s="37">
        <f>IF($B43="Yes",1,0)</f>
        <v>0</v>
      </c>
      <c r="J43" s="37"/>
      <c r="K43" s="37"/>
      <c r="L43" s="37"/>
      <c r="M43" s="37"/>
      <c r="N43" s="37"/>
      <c r="O43" s="37"/>
      <c r="P43" s="37"/>
      <c r="Q43" s="37"/>
    </row>
    <row r="44" spans="1:17" ht="12.75">
      <c r="A44" s="3">
        <f aca="true" t="shared" si="5" ref="A44:A49">IF($B$41="Yes",E29,"")</f>
      </c>
      <c r="B44" s="107"/>
      <c r="E44" s="39"/>
      <c r="H44" s="37"/>
      <c r="I44" s="37"/>
      <c r="J44" s="37">
        <f>IF($B44="Yes",1,0)</f>
        <v>0</v>
      </c>
      <c r="K44" s="37"/>
      <c r="L44" s="37"/>
      <c r="M44" s="37"/>
      <c r="N44" s="37"/>
      <c r="O44" s="37"/>
      <c r="P44" s="37"/>
      <c r="Q44" s="37"/>
    </row>
    <row r="45" spans="1:17" ht="12.75">
      <c r="A45" s="3">
        <f t="shared" si="5"/>
      </c>
      <c r="B45" s="107"/>
      <c r="C45" s="3"/>
      <c r="D45" s="22"/>
      <c r="E45" s="39" t="s">
        <v>2</v>
      </c>
      <c r="F45" s="22"/>
      <c r="G45" s="22"/>
      <c r="H45" s="37"/>
      <c r="I45" s="37">
        <f>IF($B45="Yes",1,0)</f>
        <v>0</v>
      </c>
      <c r="J45" s="37"/>
      <c r="K45" s="37">
        <f>IF($B45="Yes",1,0)</f>
        <v>0</v>
      </c>
      <c r="L45" s="37"/>
      <c r="M45" s="37"/>
      <c r="N45" s="37"/>
      <c r="O45" s="37"/>
      <c r="P45" s="37"/>
      <c r="Q45" s="37"/>
    </row>
    <row r="46" spans="1:17" ht="12.75">
      <c r="A46" s="3">
        <f t="shared" si="5"/>
      </c>
      <c r="B46" s="107"/>
      <c r="C46" s="3"/>
      <c r="D46" s="22"/>
      <c r="E46" s="41" t="s">
        <v>3</v>
      </c>
      <c r="H46" s="37"/>
      <c r="I46" s="37"/>
      <c r="J46" s="37"/>
      <c r="K46" s="37">
        <f>IF($B46="Yes",1,0)</f>
        <v>0</v>
      </c>
      <c r="L46" s="37">
        <f>IF($B46="Yes",1,0)</f>
        <v>0</v>
      </c>
      <c r="M46" s="37"/>
      <c r="N46" s="37"/>
      <c r="O46" s="37"/>
      <c r="P46" s="37"/>
      <c r="Q46" s="37"/>
    </row>
    <row r="47" spans="1:17" ht="12.75">
      <c r="A47" s="3">
        <f t="shared" si="5"/>
      </c>
      <c r="B47" s="107"/>
      <c r="C47" s="3"/>
      <c r="D47" s="22"/>
      <c r="H47" s="37"/>
      <c r="I47" s="37"/>
      <c r="J47" s="37"/>
      <c r="K47" s="37"/>
      <c r="L47" s="37"/>
      <c r="M47" s="37">
        <f>IF($B47="Yes",1,0)</f>
        <v>0</v>
      </c>
      <c r="N47" s="37">
        <f>IF($B47="Yes",1,0)</f>
        <v>0</v>
      </c>
      <c r="O47" s="37"/>
      <c r="P47" s="37"/>
      <c r="Q47" s="37"/>
    </row>
    <row r="48" spans="1:17" ht="12.75">
      <c r="A48" s="3">
        <f t="shared" si="5"/>
      </c>
      <c r="B48" s="107"/>
      <c r="C48" s="3"/>
      <c r="D48" s="22"/>
      <c r="F48" s="22"/>
      <c r="G48" s="22"/>
      <c r="H48" s="37"/>
      <c r="I48" s="37"/>
      <c r="J48" s="37"/>
      <c r="K48" s="37">
        <f>IF($B48="Yes",1,0)</f>
        <v>0</v>
      </c>
      <c r="L48" s="37"/>
      <c r="M48" s="37"/>
      <c r="N48" s="37"/>
      <c r="O48" s="37"/>
      <c r="P48" s="37"/>
      <c r="Q48" s="37"/>
    </row>
    <row r="49" spans="1:17" ht="12.75">
      <c r="A49" s="3">
        <f t="shared" si="5"/>
      </c>
      <c r="B49" s="107"/>
      <c r="C49" s="3"/>
      <c r="D49" s="22"/>
      <c r="F49" s="22"/>
      <c r="G49" s="22"/>
      <c r="H49" s="37"/>
      <c r="I49" s="37"/>
      <c r="J49" s="37"/>
      <c r="K49" s="37">
        <f>IF($B49="Yes",1,0)</f>
        <v>0</v>
      </c>
      <c r="L49" s="37"/>
      <c r="M49" s="37"/>
      <c r="N49" s="37"/>
      <c r="O49" s="37">
        <f>IF($B49="Yes",1,0)</f>
        <v>0</v>
      </c>
      <c r="P49" s="37"/>
      <c r="Q49" s="37"/>
    </row>
    <row r="50" spans="1:17" ht="12.75">
      <c r="A50" s="18"/>
      <c r="B50" s="4"/>
      <c r="C50" s="3"/>
      <c r="D50" s="22"/>
      <c r="E50" s="22"/>
      <c r="F50" s="22"/>
      <c r="G50" s="22"/>
      <c r="H50" s="37"/>
      <c r="I50" s="37"/>
      <c r="J50" s="37"/>
      <c r="K50" s="37"/>
      <c r="L50" s="37"/>
      <c r="M50" s="37"/>
      <c r="N50" s="37"/>
      <c r="O50" s="37"/>
      <c r="P50" s="37"/>
      <c r="Q50" s="37"/>
    </row>
    <row r="51" spans="1:17" ht="25.5">
      <c r="A51" s="18" t="s">
        <v>440</v>
      </c>
      <c r="B51" s="238"/>
      <c r="C51" s="3"/>
      <c r="D51" s="22"/>
      <c r="E51" s="22"/>
      <c r="F51" s="22"/>
      <c r="G51" s="22"/>
      <c r="H51" s="37"/>
      <c r="I51" s="37"/>
      <c r="J51" s="37">
        <f>IF($B51=$E$37,1,IF($B51=$E$38,2,0))</f>
        <v>0</v>
      </c>
      <c r="K51" s="37"/>
      <c r="L51" s="37"/>
      <c r="M51" s="37"/>
      <c r="N51" s="37"/>
      <c r="O51" s="37"/>
      <c r="P51" s="37"/>
      <c r="Q51" s="37"/>
    </row>
    <row r="52" spans="1:17" ht="12.75">
      <c r="A52" s="18"/>
      <c r="B52" s="4"/>
      <c r="H52" s="37"/>
      <c r="I52" s="37"/>
      <c r="J52" s="37"/>
      <c r="K52" s="37"/>
      <c r="L52" s="37"/>
      <c r="M52" s="37"/>
      <c r="N52" s="37"/>
      <c r="O52" s="37"/>
      <c r="P52" s="37"/>
      <c r="Q52" s="37"/>
    </row>
    <row r="53" spans="1:17" ht="25.5">
      <c r="A53" s="18" t="s">
        <v>441</v>
      </c>
      <c r="B53" s="238"/>
      <c r="H53" s="37"/>
      <c r="I53" s="37"/>
      <c r="J53" s="37">
        <f>IF(OR($B53=$E$38,$B53=$E$38),1,0)</f>
        <v>0</v>
      </c>
      <c r="K53" s="37"/>
      <c r="L53" s="37"/>
      <c r="M53" s="37"/>
      <c r="N53" s="37"/>
      <c r="O53" s="37"/>
      <c r="P53" s="37"/>
      <c r="Q53" s="37"/>
    </row>
    <row r="54" spans="1:17" ht="12.75">
      <c r="A54" s="1"/>
      <c r="B54" s="4"/>
      <c r="H54" s="37"/>
      <c r="I54" s="37"/>
      <c r="J54" s="37"/>
      <c r="K54" s="37"/>
      <c r="L54" s="37"/>
      <c r="M54" s="37"/>
      <c r="N54" s="37"/>
      <c r="O54" s="37"/>
      <c r="P54" s="37"/>
      <c r="Q54" s="37"/>
    </row>
    <row r="55" spans="1:17" ht="12.75">
      <c r="A55" s="18" t="s">
        <v>442</v>
      </c>
      <c r="B55" s="238"/>
      <c r="H55" s="37"/>
      <c r="I55" s="37"/>
      <c r="J55" s="37">
        <f>IF($B55=$E$43,-1,0)</f>
        <v>0</v>
      </c>
      <c r="K55" s="37"/>
      <c r="L55" s="37"/>
      <c r="M55" s="37"/>
      <c r="N55" s="37"/>
      <c r="O55" s="37"/>
      <c r="P55" s="37"/>
      <c r="Q55" s="37"/>
    </row>
    <row r="56" spans="1:17" ht="12.75">
      <c r="A56" s="1"/>
      <c r="B56" s="4"/>
      <c r="H56" s="37"/>
      <c r="I56" s="37"/>
      <c r="J56" s="37"/>
      <c r="K56" s="37"/>
      <c r="L56" s="37"/>
      <c r="M56" s="37"/>
      <c r="N56" s="37"/>
      <c r="O56" s="37"/>
      <c r="P56" s="37"/>
      <c r="Q56" s="37"/>
    </row>
    <row r="57" spans="1:17" ht="12.75">
      <c r="A57" s="1"/>
      <c r="B57" s="4"/>
      <c r="H57" s="37"/>
      <c r="I57" s="37"/>
      <c r="J57" s="37"/>
      <c r="K57" s="37"/>
      <c r="L57" s="37"/>
      <c r="M57" s="37"/>
      <c r="N57" s="37"/>
      <c r="O57" s="37"/>
      <c r="P57" s="37"/>
      <c r="Q57" s="37"/>
    </row>
    <row r="58" spans="1:17" ht="12.75">
      <c r="A58" s="1"/>
      <c r="B58" s="4"/>
      <c r="H58" s="37"/>
      <c r="I58" s="37"/>
      <c r="J58" s="37"/>
      <c r="K58" s="37"/>
      <c r="L58" s="37"/>
      <c r="M58" s="37"/>
      <c r="N58" s="37"/>
      <c r="O58" s="37"/>
      <c r="P58" s="37"/>
      <c r="Q58" s="37"/>
    </row>
    <row r="59" spans="1:17" ht="12.75">
      <c r="A59" s="1"/>
      <c r="B59" s="4"/>
      <c r="H59" s="37"/>
      <c r="I59" s="37"/>
      <c r="J59" s="37"/>
      <c r="K59" s="37"/>
      <c r="L59" s="37"/>
      <c r="M59" s="37"/>
      <c r="N59" s="37"/>
      <c r="O59" s="37"/>
      <c r="P59" s="37"/>
      <c r="Q59" s="37"/>
    </row>
    <row r="60" spans="1:17" ht="12.75">
      <c r="A60" s="18"/>
      <c r="B60" s="4"/>
      <c r="H60" s="37"/>
      <c r="I60" s="37"/>
      <c r="J60" s="37"/>
      <c r="K60" s="37"/>
      <c r="L60" s="37"/>
      <c r="M60" s="37"/>
      <c r="N60" s="37"/>
      <c r="O60" s="37"/>
      <c r="P60" s="37"/>
      <c r="Q60" s="37"/>
    </row>
    <row r="61" spans="1:17" ht="12.75">
      <c r="A61" s="18"/>
      <c r="B61" s="4"/>
      <c r="H61" s="37"/>
      <c r="I61" s="37"/>
      <c r="J61" s="37"/>
      <c r="K61" s="37"/>
      <c r="L61" s="37"/>
      <c r="M61" s="37"/>
      <c r="N61" s="37"/>
      <c r="O61" s="37"/>
      <c r="P61" s="37"/>
      <c r="Q61" s="37"/>
    </row>
    <row r="62" spans="1:17" ht="12.75">
      <c r="A62" s="18"/>
      <c r="B62" s="4"/>
      <c r="H62" s="37"/>
      <c r="I62" s="37"/>
      <c r="J62" s="37"/>
      <c r="K62" s="37"/>
      <c r="L62" s="37"/>
      <c r="M62" s="37"/>
      <c r="N62" s="37"/>
      <c r="O62" s="37"/>
      <c r="P62" s="37"/>
      <c r="Q62" s="37"/>
    </row>
    <row r="63" spans="1:17" ht="12.75">
      <c r="A63" s="18"/>
      <c r="B63" s="4"/>
      <c r="H63" s="37"/>
      <c r="I63" s="37"/>
      <c r="J63" s="37"/>
      <c r="K63" s="37"/>
      <c r="L63" s="37"/>
      <c r="M63" s="37"/>
      <c r="N63" s="37"/>
      <c r="O63" s="37"/>
      <c r="P63" s="37"/>
      <c r="Q63" s="37"/>
    </row>
    <row r="64" spans="1:17" ht="12.75">
      <c r="A64" s="18"/>
      <c r="B64" s="4"/>
      <c r="H64" s="37"/>
      <c r="I64" s="37"/>
      <c r="J64" s="37"/>
      <c r="K64" s="37"/>
      <c r="L64" s="37"/>
      <c r="M64" s="37"/>
      <c r="N64" s="37"/>
      <c r="O64" s="37"/>
      <c r="P64" s="37"/>
      <c r="Q64" s="37"/>
    </row>
    <row r="65" spans="1:17" ht="12.75">
      <c r="A65" s="18"/>
      <c r="B65" s="4"/>
      <c r="H65" s="37"/>
      <c r="I65" s="37"/>
      <c r="J65" s="37"/>
      <c r="K65" s="37"/>
      <c r="L65" s="37"/>
      <c r="M65" s="37"/>
      <c r="N65" s="37"/>
      <c r="O65" s="37"/>
      <c r="P65" s="37"/>
      <c r="Q65" s="37"/>
    </row>
    <row r="66" spans="1:17" ht="12.75">
      <c r="A66" s="18"/>
      <c r="B66" s="4"/>
      <c r="H66" s="37"/>
      <c r="I66" s="37"/>
      <c r="J66" s="37"/>
      <c r="K66" s="37"/>
      <c r="L66" s="37"/>
      <c r="M66" s="37"/>
      <c r="N66" s="37"/>
      <c r="O66" s="37"/>
      <c r="P66" s="37"/>
      <c r="Q66" s="37"/>
    </row>
    <row r="67" spans="1:17" ht="12.75">
      <c r="A67" s="18"/>
      <c r="B67" s="4"/>
      <c r="H67" s="37"/>
      <c r="I67" s="37"/>
      <c r="J67" s="37"/>
      <c r="K67" s="37"/>
      <c r="L67" s="37"/>
      <c r="M67" s="37"/>
      <c r="N67" s="37"/>
      <c r="O67" s="37"/>
      <c r="P67" s="37"/>
      <c r="Q67" s="37"/>
    </row>
    <row r="68" spans="1:17" ht="12.75">
      <c r="A68" s="18"/>
      <c r="B68" s="4"/>
      <c r="H68" s="37"/>
      <c r="I68" s="37"/>
      <c r="J68" s="37"/>
      <c r="K68" s="37"/>
      <c r="L68" s="37"/>
      <c r="M68" s="37"/>
      <c r="N68" s="37"/>
      <c r="O68" s="37"/>
      <c r="P68" s="37"/>
      <c r="Q68" s="37"/>
    </row>
    <row r="69" spans="1:17" ht="12.75">
      <c r="A69" s="18"/>
      <c r="B69" s="4"/>
      <c r="H69" s="37"/>
      <c r="I69" s="37"/>
      <c r="J69" s="37"/>
      <c r="K69" s="37"/>
      <c r="L69" s="37"/>
      <c r="M69" s="37"/>
      <c r="N69" s="37"/>
      <c r="O69" s="37"/>
      <c r="P69" s="37"/>
      <c r="Q69" s="37"/>
    </row>
    <row r="70" spans="1:17" ht="12.75">
      <c r="A70" s="18"/>
      <c r="B70" s="4"/>
      <c r="H70" s="37"/>
      <c r="I70" s="37"/>
      <c r="J70" s="37"/>
      <c r="K70" s="37"/>
      <c r="L70" s="37"/>
      <c r="M70" s="37"/>
      <c r="N70" s="37"/>
      <c r="O70" s="37"/>
      <c r="P70" s="37"/>
      <c r="Q70" s="37"/>
    </row>
    <row r="71" spans="1:17" ht="12.75">
      <c r="A71" s="18"/>
      <c r="B71" s="4"/>
      <c r="H71" s="37"/>
      <c r="I71" s="37"/>
      <c r="J71" s="37"/>
      <c r="K71" s="37"/>
      <c r="L71" s="37"/>
      <c r="M71" s="37"/>
      <c r="N71" s="37"/>
      <c r="O71" s="37"/>
      <c r="P71" s="37"/>
      <c r="Q71" s="37"/>
    </row>
    <row r="72" spans="1:17" ht="12.75">
      <c r="A72" s="18"/>
      <c r="B72" s="4"/>
      <c r="H72" s="37"/>
      <c r="I72" s="37"/>
      <c r="J72" s="37"/>
      <c r="K72" s="37"/>
      <c r="L72" s="37"/>
      <c r="M72" s="37"/>
      <c r="N72" s="37"/>
      <c r="O72" s="37"/>
      <c r="P72" s="37"/>
      <c r="Q72" s="37"/>
    </row>
    <row r="73" spans="1:17" ht="12.75">
      <c r="A73" s="18"/>
      <c r="B73" s="4"/>
      <c r="H73" s="37"/>
      <c r="I73" s="37"/>
      <c r="J73" s="37"/>
      <c r="K73" s="37"/>
      <c r="L73" s="37"/>
      <c r="M73" s="37"/>
      <c r="N73" s="37"/>
      <c r="O73" s="37"/>
      <c r="P73" s="37"/>
      <c r="Q73" s="37"/>
    </row>
    <row r="74" spans="1:17" ht="12.75">
      <c r="A74" s="18"/>
      <c r="B74" s="4"/>
      <c r="H74" s="37"/>
      <c r="I74" s="37"/>
      <c r="J74" s="37"/>
      <c r="K74" s="37"/>
      <c r="L74" s="37"/>
      <c r="M74" s="37"/>
      <c r="N74" s="37"/>
      <c r="O74" s="37"/>
      <c r="P74" s="37"/>
      <c r="Q74" s="37"/>
    </row>
    <row r="75" spans="1:17" ht="12.75">
      <c r="A75" s="18"/>
      <c r="B75" s="4"/>
      <c r="H75" s="37"/>
      <c r="I75" s="37"/>
      <c r="J75" s="37"/>
      <c r="K75" s="37"/>
      <c r="L75" s="37"/>
      <c r="M75" s="37"/>
      <c r="N75" s="37"/>
      <c r="O75" s="37"/>
      <c r="P75" s="37"/>
      <c r="Q75" s="37"/>
    </row>
    <row r="76" spans="2:17" ht="12.75">
      <c r="B76" s="4"/>
      <c r="H76" s="37"/>
      <c r="I76" s="37"/>
      <c r="J76" s="37"/>
      <c r="K76" s="37"/>
      <c r="L76" s="37"/>
      <c r="M76" s="37"/>
      <c r="N76" s="37"/>
      <c r="O76" s="37"/>
      <c r="P76" s="37"/>
      <c r="Q76" s="37"/>
    </row>
    <row r="77" spans="2:17" ht="12.75">
      <c r="B77" s="4"/>
      <c r="H77" s="37"/>
      <c r="I77" s="37"/>
      <c r="J77" s="37"/>
      <c r="K77" s="37"/>
      <c r="L77" s="37"/>
      <c r="M77" s="37"/>
      <c r="N77" s="37"/>
      <c r="O77" s="37"/>
      <c r="P77" s="37"/>
      <c r="Q77" s="37"/>
    </row>
    <row r="78" spans="2:17" ht="12.75">
      <c r="B78" s="4"/>
      <c r="H78" s="37"/>
      <c r="I78" s="37"/>
      <c r="J78" s="37"/>
      <c r="K78" s="37"/>
      <c r="L78" s="37"/>
      <c r="M78" s="37"/>
      <c r="N78" s="37"/>
      <c r="O78" s="37"/>
      <c r="P78" s="37"/>
      <c r="Q78" s="37"/>
    </row>
    <row r="79" spans="2:17" ht="12.75">
      <c r="B79" s="4"/>
      <c r="H79" s="37"/>
      <c r="I79" s="37"/>
      <c r="J79" s="37"/>
      <c r="K79" s="37"/>
      <c r="L79" s="37"/>
      <c r="M79" s="37"/>
      <c r="N79" s="37"/>
      <c r="O79" s="37"/>
      <c r="P79" s="37"/>
      <c r="Q79" s="37"/>
    </row>
    <row r="80" spans="2:17" ht="12.75">
      <c r="B80" s="4"/>
      <c r="H80" s="37"/>
      <c r="I80" s="37"/>
      <c r="J80" s="37"/>
      <c r="K80" s="37"/>
      <c r="L80" s="37"/>
      <c r="M80" s="37"/>
      <c r="N80" s="37"/>
      <c r="O80" s="37"/>
      <c r="P80" s="37"/>
      <c r="Q80" s="37"/>
    </row>
    <row r="81" spans="2:17" ht="12.75">
      <c r="B81" s="4"/>
      <c r="H81" s="37"/>
      <c r="I81" s="37"/>
      <c r="J81" s="37"/>
      <c r="K81" s="37"/>
      <c r="L81" s="37"/>
      <c r="M81" s="37"/>
      <c r="N81" s="37"/>
      <c r="O81" s="37"/>
      <c r="P81" s="37"/>
      <c r="Q81" s="37"/>
    </row>
    <row r="82" spans="2:17" ht="12.75">
      <c r="B82" s="4"/>
      <c r="H82" s="37"/>
      <c r="I82" s="37"/>
      <c r="J82" s="37"/>
      <c r="K82" s="37"/>
      <c r="L82" s="37"/>
      <c r="M82" s="37"/>
      <c r="N82" s="37"/>
      <c r="O82" s="37"/>
      <c r="P82" s="37"/>
      <c r="Q82" s="37"/>
    </row>
    <row r="83" spans="2:17" ht="12.75">
      <c r="B83" s="4"/>
      <c r="H83" s="37"/>
      <c r="I83" s="37"/>
      <c r="J83" s="37"/>
      <c r="K83" s="37"/>
      <c r="L83" s="37"/>
      <c r="M83" s="37"/>
      <c r="N83" s="37"/>
      <c r="O83" s="37"/>
      <c r="P83" s="37"/>
      <c r="Q83" s="37"/>
    </row>
    <row r="84" ht="12.75">
      <c r="B84" s="4"/>
    </row>
    <row r="85" ht="12.75">
      <c r="B85" s="4"/>
    </row>
    <row r="86" ht="12.75">
      <c r="B86" s="4"/>
    </row>
    <row r="87" ht="12.75">
      <c r="B87" s="4"/>
    </row>
    <row r="88" ht="12.75">
      <c r="B88" s="4"/>
    </row>
    <row r="89" ht="12.75">
      <c r="B89" s="4"/>
    </row>
    <row r="90" ht="12.75">
      <c r="B90" s="4"/>
    </row>
    <row r="91" ht="12.75">
      <c r="B91" s="4"/>
    </row>
    <row r="92" ht="12.75">
      <c r="B92" s="4"/>
    </row>
    <row r="93" ht="12.75">
      <c r="B93" s="4"/>
    </row>
    <row r="94" ht="12.75">
      <c r="B94" s="4"/>
    </row>
    <row r="95" ht="12.75">
      <c r="B95" s="4"/>
    </row>
    <row r="96" ht="12.75">
      <c r="B96" s="4"/>
    </row>
    <row r="97" ht="12.75">
      <c r="B97" s="4"/>
    </row>
    <row r="98" ht="12.75">
      <c r="B98" s="4"/>
    </row>
    <row r="99" ht="12.75">
      <c r="B99" s="4"/>
    </row>
    <row r="100" ht="12.75">
      <c r="B100" s="4"/>
    </row>
    <row r="101" ht="12.75">
      <c r="B101" s="4"/>
    </row>
    <row r="102" ht="12.75">
      <c r="B102" s="4"/>
    </row>
    <row r="103" ht="12.75">
      <c r="B103" s="4"/>
    </row>
    <row r="104" ht="12.75">
      <c r="B104" s="4"/>
    </row>
    <row r="105" ht="12.75">
      <c r="B105" s="4"/>
    </row>
    <row r="106" ht="12.75">
      <c r="B106" s="4"/>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sheetData>
  <sheetProtection password="C687" sheet="1" objects="1" scenarios="1"/>
  <conditionalFormatting sqref="H4:Q83">
    <cfRule type="cellIs" priority="11" dxfId="24" operator="equal" stopIfTrue="1">
      <formula>999</formula>
    </cfRule>
  </conditionalFormatting>
  <conditionalFormatting sqref="B4 B6 B8 B21 B31 B41 B51 B53 B55">
    <cfRule type="cellIs" priority="13" dxfId="94" operator="equal" stopIfTrue="1">
      <formula>0</formula>
    </cfRule>
  </conditionalFormatting>
  <conditionalFormatting sqref="B10:B19">
    <cfRule type="expression" priority="14" dxfId="94" stopIfTrue="1">
      <formula>AND($B$8="Yes",B10=0)</formula>
    </cfRule>
  </conditionalFormatting>
  <conditionalFormatting sqref="B23:B29">
    <cfRule type="expression" priority="15" dxfId="94" stopIfTrue="1">
      <formula>AND($B$21="Yes",B23=0)</formula>
    </cfRule>
  </conditionalFormatting>
  <conditionalFormatting sqref="B33:B39">
    <cfRule type="expression" priority="16" dxfId="94" stopIfTrue="1">
      <formula>AND($B$31="Yes",B33=0)</formula>
    </cfRule>
  </conditionalFormatting>
  <conditionalFormatting sqref="B43:B49">
    <cfRule type="expression" priority="17" dxfId="94" stopIfTrue="1">
      <formula>AND($B$41="Yes",B43=0)</formula>
    </cfRule>
  </conditionalFormatting>
  <dataValidations count="5">
    <dataValidation type="list" allowBlank="1" showInputMessage="1" showErrorMessage="1" sqref="B55">
      <formula1>$E$40:$E$43</formula1>
    </dataValidation>
    <dataValidation type="list" allowBlank="1" showInputMessage="1" showErrorMessage="1" sqref="B41 B23:B29 B10:B19 B8 B31 B43:B49 B21 B33:B39">
      <formula1>$E$45:$E$46</formula1>
    </dataValidation>
    <dataValidation type="list" allowBlank="1" showInputMessage="1" showErrorMessage="1" sqref="B4">
      <formula1>$E$4:$E$7</formula1>
    </dataValidation>
    <dataValidation type="list" allowBlank="1" showInputMessage="1" showErrorMessage="1" sqref="B6">
      <formula1>$E$9:$E$11</formula1>
    </dataValidation>
    <dataValidation type="list" allowBlank="1" showInputMessage="1" showErrorMessage="1" sqref="B51 B53">
      <formula1>$E$36:$E$38</formula1>
    </dataValidation>
  </dataValidations>
  <printOptions/>
  <pageMargins left="0.75" right="0.75" top="1.25" bottom="1.01" header="0.5" footer="0.37"/>
  <pageSetup fitToHeight="3" horizontalDpi="600" verticalDpi="600" orientation="portrait" scale="85" r:id="rId2"/>
  <headerFooter alignWithMargins="0">
    <oddHeader>&amp;L&amp;"Arial Narrow,Bold"&amp;11FOCUS WV Brownfields Mini-Grant Program 
Land Use Decision Enhancer Tool:
&amp;A, Page &amp;P of &amp;N&amp;R&amp;"Arial Narrow,Bold"Today's Date: &amp;D
&amp;"Arial Narrow,Regular"Prepared by: SRA International, Inc. and Vita Nuova, LLC</oddHeader>
    <oddFooter>&amp;L&amp;G&amp;CThis tool should not be used independently or as a primary reuse decision making tool. Reuse and investment 
planning should be based on unique drivers, detailed valuation tools, and local knowledge of the site.&amp;R&amp;G</oddFooter>
  </headerFooter>
  <legacyDrawingHF r:id="rId1"/>
</worksheet>
</file>

<file path=xl/worksheets/sheet5.xml><?xml version="1.0" encoding="utf-8"?>
<worksheet xmlns="http://schemas.openxmlformats.org/spreadsheetml/2006/main" xmlns:r="http://schemas.openxmlformats.org/officeDocument/2006/relationships">
  <sheetPr>
    <tabColor indexed="56"/>
  </sheetPr>
  <dimension ref="A1:IV154"/>
  <sheetViews>
    <sheetView zoomScalePageLayoutView="0" workbookViewId="0" topLeftCell="A1">
      <pane xSplit="3" ySplit="1" topLeftCell="D2" activePane="bottomRight" state="frozen"/>
      <selection pane="topLeft" activeCell="D2" sqref="D2"/>
      <selection pane="topRight" activeCell="D2" sqref="D2"/>
      <selection pane="bottomLeft" activeCell="D2" sqref="D2"/>
      <selection pane="bottomRight" activeCell="D2" sqref="D2"/>
    </sheetView>
  </sheetViews>
  <sheetFormatPr defaultColWidth="9.140625" defaultRowHeight="12.75" outlineLevelCol="1"/>
  <cols>
    <col min="1" max="1" width="56.7109375" style="1" customWidth="1"/>
    <col min="2" max="2" width="24.28125" style="241" customWidth="1"/>
    <col min="3" max="3" width="14.140625" style="1" customWidth="1"/>
    <col min="4" max="4" width="41.7109375" style="15" customWidth="1"/>
    <col min="5" max="5" width="26.28125" style="1" hidden="1" customWidth="1" outlineLevel="1"/>
    <col min="6" max="6" width="9.140625" style="1" customWidth="1" collapsed="1"/>
    <col min="7" max="7" width="9.140625" style="28" hidden="1" customWidth="1" outlineLevel="1"/>
    <col min="8" max="17" width="9.140625" style="1" hidden="1" customWidth="1" outlineLevel="1"/>
    <col min="18" max="18" width="9.140625" style="1" customWidth="1" collapsed="1"/>
    <col min="19" max="16384" width="9.140625" style="1" customWidth="1"/>
  </cols>
  <sheetData>
    <row r="1" spans="1:23" s="28" customFormat="1" ht="13.5">
      <c r="A1" s="273" t="s">
        <v>312</v>
      </c>
      <c r="B1" s="274"/>
      <c r="C1" s="93"/>
      <c r="D1" s="287"/>
      <c r="E1" s="287"/>
      <c r="F1" s="287"/>
      <c r="G1" s="287"/>
      <c r="H1" s="287"/>
      <c r="I1" s="287"/>
      <c r="J1" s="287"/>
      <c r="K1" s="287"/>
      <c r="L1" s="287"/>
      <c r="M1" s="287"/>
      <c r="N1" s="287"/>
      <c r="O1" s="287"/>
      <c r="P1" s="287"/>
      <c r="Q1" s="287"/>
      <c r="R1" s="287"/>
      <c r="S1" s="287"/>
      <c r="T1" s="287"/>
      <c r="U1" s="287"/>
      <c r="V1" s="287"/>
      <c r="W1" s="287"/>
    </row>
    <row r="2" spans="1:23" s="28" customFormat="1" ht="16.5">
      <c r="A2" s="276">
        <f>IF('1. Property'!B4="","",'1. Property'!B4)</f>
      </c>
      <c r="B2" s="277"/>
      <c r="C2" s="286"/>
      <c r="D2" s="287"/>
      <c r="E2" s="287"/>
      <c r="F2" s="287"/>
      <c r="G2" s="287"/>
      <c r="H2" s="287"/>
      <c r="I2" s="287"/>
      <c r="J2" s="287"/>
      <c r="K2" s="287"/>
      <c r="L2" s="287"/>
      <c r="M2" s="287"/>
      <c r="N2" s="287"/>
      <c r="O2" s="287"/>
      <c r="P2" s="287"/>
      <c r="Q2" s="287"/>
      <c r="R2" s="287"/>
      <c r="S2" s="287"/>
      <c r="T2" s="287"/>
      <c r="U2" s="287"/>
      <c r="V2" s="287"/>
      <c r="W2" s="287"/>
    </row>
    <row r="3" spans="1:17" ht="12.75">
      <c r="A3" s="219" t="s">
        <v>45</v>
      </c>
      <c r="B3" s="141"/>
      <c r="C3" s="227"/>
      <c r="D3" s="14"/>
      <c r="E3" s="26" t="s">
        <v>2</v>
      </c>
      <c r="F3" s="5"/>
      <c r="G3" s="29"/>
      <c r="H3" s="4" t="s">
        <v>20</v>
      </c>
      <c r="I3" s="4" t="s">
        <v>161</v>
      </c>
      <c r="J3" s="4" t="s">
        <v>22</v>
      </c>
      <c r="K3" s="4" t="s">
        <v>0</v>
      </c>
      <c r="L3" s="4" t="s">
        <v>28</v>
      </c>
      <c r="M3" s="4" t="s">
        <v>162</v>
      </c>
      <c r="N3" s="4" t="s">
        <v>23</v>
      </c>
      <c r="O3" s="4" t="s">
        <v>220</v>
      </c>
      <c r="P3" s="4" t="s">
        <v>156</v>
      </c>
      <c r="Q3" s="4" t="s">
        <v>165</v>
      </c>
    </row>
    <row r="4" spans="1:17" ht="12.75">
      <c r="A4" s="1" t="s">
        <v>232</v>
      </c>
      <c r="B4" s="122"/>
      <c r="E4" s="26" t="s">
        <v>3</v>
      </c>
      <c r="G4" s="33" t="s">
        <v>180</v>
      </c>
      <c r="H4" s="36">
        <f aca="true" t="shared" si="0" ref="H4:Q4">IF(MAX(H5:H168)=999,999,SUM(H5:H168))</f>
        <v>0</v>
      </c>
      <c r="I4" s="36">
        <f t="shared" si="0"/>
        <v>0</v>
      </c>
      <c r="J4" s="36">
        <f t="shared" si="0"/>
        <v>0</v>
      </c>
      <c r="K4" s="36">
        <f t="shared" si="0"/>
        <v>0</v>
      </c>
      <c r="L4" s="36">
        <f t="shared" si="0"/>
        <v>0</v>
      </c>
      <c r="M4" s="36">
        <f t="shared" si="0"/>
        <v>0</v>
      </c>
      <c r="N4" s="36">
        <f t="shared" si="0"/>
        <v>0</v>
      </c>
      <c r="O4" s="36">
        <f t="shared" si="0"/>
        <v>0</v>
      </c>
      <c r="P4" s="36">
        <f t="shared" si="0"/>
        <v>0</v>
      </c>
      <c r="Q4" s="36">
        <f t="shared" si="0"/>
        <v>0</v>
      </c>
    </row>
    <row r="5" spans="1:17" ht="12.75">
      <c r="A5" s="1" t="s">
        <v>351</v>
      </c>
      <c r="B5" s="122"/>
      <c r="E5" s="26" t="s">
        <v>354</v>
      </c>
      <c r="H5" s="37"/>
      <c r="I5" s="37"/>
      <c r="J5" s="37"/>
      <c r="K5" s="37"/>
      <c r="L5" s="37"/>
      <c r="M5" s="37"/>
      <c r="N5" s="37"/>
      <c r="O5" s="37"/>
      <c r="P5" s="37"/>
      <c r="Q5" s="37"/>
    </row>
    <row r="6" spans="1:17" ht="12.75">
      <c r="A6" s="1" t="s">
        <v>233</v>
      </c>
      <c r="B6" s="122"/>
      <c r="E6" s="26" t="s">
        <v>243</v>
      </c>
      <c r="H6" s="37"/>
      <c r="I6" s="37"/>
      <c r="J6" s="37"/>
      <c r="K6" s="37"/>
      <c r="L6" s="37"/>
      <c r="M6" s="37"/>
      <c r="N6" s="37"/>
      <c r="O6" s="37"/>
      <c r="P6" s="37"/>
      <c r="Q6" s="37"/>
    </row>
    <row r="7" spans="1:17" ht="12.75">
      <c r="A7" s="1" t="s">
        <v>234</v>
      </c>
      <c r="B7" s="122"/>
      <c r="E7" s="26" t="s">
        <v>244</v>
      </c>
      <c r="H7" s="37"/>
      <c r="I7" s="37"/>
      <c r="J7" s="37"/>
      <c r="K7" s="37"/>
      <c r="L7" s="37"/>
      <c r="M7" s="37"/>
      <c r="N7" s="37"/>
      <c r="O7" s="37"/>
      <c r="P7" s="37"/>
      <c r="Q7" s="37"/>
    </row>
    <row r="8" spans="2:17" ht="12.75">
      <c r="B8" s="3"/>
      <c r="E8" s="26"/>
      <c r="H8" s="37"/>
      <c r="I8" s="37"/>
      <c r="J8" s="37"/>
      <c r="K8" s="37"/>
      <c r="L8" s="37"/>
      <c r="M8" s="37"/>
      <c r="N8" s="37"/>
      <c r="O8" s="37"/>
      <c r="P8" s="37"/>
      <c r="Q8" s="37"/>
    </row>
    <row r="9" spans="1:17" ht="12.75">
      <c r="A9" s="8" t="s">
        <v>47</v>
      </c>
      <c r="B9" s="132"/>
      <c r="C9" s="13"/>
      <c r="E9" s="26" t="s">
        <v>165</v>
      </c>
      <c r="H9" s="37"/>
      <c r="I9" s="37"/>
      <c r="J9" s="37"/>
      <c r="K9" s="37"/>
      <c r="L9" s="37"/>
      <c r="M9" s="37"/>
      <c r="N9" s="37"/>
      <c r="O9" s="37"/>
      <c r="P9" s="37"/>
      <c r="Q9" s="37"/>
    </row>
    <row r="10" spans="1:17" ht="12.75">
      <c r="A10" s="1" t="s">
        <v>235</v>
      </c>
      <c r="B10" s="122"/>
      <c r="E10" s="26" t="s">
        <v>29</v>
      </c>
      <c r="H10" s="37"/>
      <c r="I10" s="37"/>
      <c r="J10" s="37"/>
      <c r="K10" s="37"/>
      <c r="L10" s="37"/>
      <c r="M10" s="37"/>
      <c r="N10" s="37"/>
      <c r="O10" s="37"/>
      <c r="P10" s="37"/>
      <c r="Q10" s="37"/>
    </row>
    <row r="11" spans="1:17" ht="12.75">
      <c r="A11" s="1" t="s">
        <v>236</v>
      </c>
      <c r="B11" s="122"/>
      <c r="E11" s="26" t="s">
        <v>256</v>
      </c>
      <c r="H11" s="37"/>
      <c r="I11" s="37"/>
      <c r="J11" s="37"/>
      <c r="K11" s="37"/>
      <c r="L11" s="37"/>
      <c r="M11" s="37"/>
      <c r="N11" s="37"/>
      <c r="O11" s="37"/>
      <c r="P11" s="37"/>
      <c r="Q11" s="37"/>
    </row>
    <row r="12" spans="1:17" ht="12.75">
      <c r="A12" s="1" t="s">
        <v>48</v>
      </c>
      <c r="B12" s="122"/>
      <c r="E12" s="26" t="s">
        <v>257</v>
      </c>
      <c r="H12" s="37"/>
      <c r="I12" s="37"/>
      <c r="J12" s="37"/>
      <c r="K12" s="37"/>
      <c r="L12" s="37"/>
      <c r="M12" s="37"/>
      <c r="N12" s="37"/>
      <c r="O12" s="37"/>
      <c r="P12" s="37"/>
      <c r="Q12" s="37"/>
    </row>
    <row r="13" spans="5:17" ht="12.75">
      <c r="E13" s="26" t="s">
        <v>258</v>
      </c>
      <c r="H13" s="37"/>
      <c r="I13" s="37"/>
      <c r="J13" s="37"/>
      <c r="K13" s="37"/>
      <c r="L13" s="37"/>
      <c r="M13" s="37"/>
      <c r="N13" s="37"/>
      <c r="O13" s="37"/>
      <c r="P13" s="37"/>
      <c r="Q13" s="37"/>
    </row>
    <row r="14" spans="1:17" ht="12.75">
      <c r="A14" s="8" t="s">
        <v>193</v>
      </c>
      <c r="B14" s="132"/>
      <c r="C14" s="13"/>
      <c r="E14" s="26" t="s">
        <v>259</v>
      </c>
      <c r="H14" s="37"/>
      <c r="I14" s="37"/>
      <c r="J14" s="37"/>
      <c r="K14" s="37"/>
      <c r="L14" s="37"/>
      <c r="M14" s="37"/>
      <c r="N14" s="37"/>
      <c r="O14" s="37"/>
      <c r="P14" s="37"/>
      <c r="Q14" s="37"/>
    </row>
    <row r="15" spans="1:17" ht="12.75">
      <c r="A15" s="1" t="s">
        <v>237</v>
      </c>
      <c r="B15" s="122"/>
      <c r="C15" s="131"/>
      <c r="E15" s="26" t="s">
        <v>255</v>
      </c>
      <c r="H15" s="37">
        <f>IF($B15&gt;0,1,IF($B15&lt;0,-1,0))</f>
        <v>0</v>
      </c>
      <c r="I15" s="37">
        <f aca="true" t="shared" si="1" ref="I15:Q15">IF($B15&gt;0,1,IF($B15&lt;0,-1,0))</f>
        <v>0</v>
      </c>
      <c r="J15" s="37">
        <f t="shared" si="1"/>
        <v>0</v>
      </c>
      <c r="K15" s="37">
        <f t="shared" si="1"/>
        <v>0</v>
      </c>
      <c r="L15" s="37">
        <f t="shared" si="1"/>
        <v>0</v>
      </c>
      <c r="M15" s="37">
        <f t="shared" si="1"/>
        <v>0</v>
      </c>
      <c r="N15" s="37">
        <f t="shared" si="1"/>
        <v>0</v>
      </c>
      <c r="O15" s="37">
        <f t="shared" si="1"/>
        <v>0</v>
      </c>
      <c r="P15" s="37">
        <f t="shared" si="1"/>
        <v>0</v>
      </c>
      <c r="Q15" s="37">
        <f t="shared" si="1"/>
        <v>0</v>
      </c>
    </row>
    <row r="16" spans="1:17" ht="12.75">
      <c r="A16" s="1" t="s">
        <v>238</v>
      </c>
      <c r="B16" s="122"/>
      <c r="C16" s="131"/>
      <c r="E16" s="26"/>
      <c r="H16" s="37">
        <f>IF($B16&gt;0,1,IF($B16&lt;0,-1,0))</f>
        <v>0</v>
      </c>
      <c r="I16" s="37">
        <f aca="true" t="shared" si="2" ref="I16:Q16">IF($B16&gt;0,1,IF($B16&lt;0,-1,0))</f>
        <v>0</v>
      </c>
      <c r="J16" s="37">
        <f t="shared" si="2"/>
        <v>0</v>
      </c>
      <c r="K16" s="37">
        <f t="shared" si="2"/>
        <v>0</v>
      </c>
      <c r="L16" s="37">
        <f t="shared" si="2"/>
        <v>0</v>
      </c>
      <c r="M16" s="37">
        <f t="shared" si="2"/>
        <v>0</v>
      </c>
      <c r="N16" s="37">
        <f t="shared" si="2"/>
        <v>0</v>
      </c>
      <c r="O16" s="37">
        <f t="shared" si="2"/>
        <v>0</v>
      </c>
      <c r="P16" s="37">
        <f t="shared" si="2"/>
        <v>0</v>
      </c>
      <c r="Q16" s="37">
        <f t="shared" si="2"/>
        <v>0</v>
      </c>
    </row>
    <row r="17" spans="2:17" ht="12.75">
      <c r="B17" s="242"/>
      <c r="C17" s="15"/>
      <c r="E17" s="26" t="s">
        <v>396</v>
      </c>
      <c r="H17" s="37"/>
      <c r="I17" s="37"/>
      <c r="J17" s="37"/>
      <c r="K17" s="37"/>
      <c r="L17" s="37"/>
      <c r="M17" s="37"/>
      <c r="N17" s="37"/>
      <c r="O17" s="37"/>
      <c r="P17" s="37"/>
      <c r="Q17" s="37"/>
    </row>
    <row r="18" spans="1:17" ht="12.75">
      <c r="A18" s="1" t="s">
        <v>245</v>
      </c>
      <c r="B18" s="122"/>
      <c r="C18" s="131"/>
      <c r="E18" s="27" t="s">
        <v>397</v>
      </c>
      <c r="G18" s="38"/>
      <c r="H18" s="37">
        <f>IF($B18&gt;0,1,IF($B18&lt;0,-1,0))</f>
        <v>0</v>
      </c>
      <c r="I18" s="37">
        <f aca="true" t="shared" si="3" ref="I18:Q18">IF($B18&gt;0,1,IF($B18&lt;0,-1,0))</f>
        <v>0</v>
      </c>
      <c r="J18" s="37">
        <f t="shared" si="3"/>
        <v>0</v>
      </c>
      <c r="K18" s="37">
        <f t="shared" si="3"/>
        <v>0</v>
      </c>
      <c r="L18" s="37">
        <f t="shared" si="3"/>
        <v>0</v>
      </c>
      <c r="M18" s="37">
        <f t="shared" si="3"/>
        <v>0</v>
      </c>
      <c r="N18" s="37">
        <f t="shared" si="3"/>
        <v>0</v>
      </c>
      <c r="O18" s="37">
        <f t="shared" si="3"/>
        <v>0</v>
      </c>
      <c r="P18" s="37">
        <f t="shared" si="3"/>
        <v>0</v>
      </c>
      <c r="Q18" s="37">
        <f t="shared" si="3"/>
        <v>0</v>
      </c>
    </row>
    <row r="19" spans="1:17" ht="12.75">
      <c r="A19" s="1" t="s">
        <v>246</v>
      </c>
      <c r="B19" s="122"/>
      <c r="C19" s="131"/>
      <c r="G19" s="38"/>
      <c r="H19" s="37">
        <f>IF($B19&gt;0,1,IF($B19&lt;0,-1,0))</f>
        <v>0</v>
      </c>
      <c r="I19" s="37">
        <f aca="true" t="shared" si="4" ref="I19:Q19">IF($B19&gt;0,1,IF($B19&lt;0,-1,0))</f>
        <v>0</v>
      </c>
      <c r="J19" s="37">
        <f t="shared" si="4"/>
        <v>0</v>
      </c>
      <c r="K19" s="37">
        <f t="shared" si="4"/>
        <v>0</v>
      </c>
      <c r="L19" s="37">
        <f t="shared" si="4"/>
        <v>0</v>
      </c>
      <c r="M19" s="37">
        <f t="shared" si="4"/>
        <v>0</v>
      </c>
      <c r="N19" s="37">
        <f t="shared" si="4"/>
        <v>0</v>
      </c>
      <c r="O19" s="37">
        <f t="shared" si="4"/>
        <v>0</v>
      </c>
      <c r="P19" s="37">
        <f t="shared" si="4"/>
        <v>0</v>
      </c>
      <c r="Q19" s="37">
        <f t="shared" si="4"/>
        <v>0</v>
      </c>
    </row>
    <row r="20" spans="2:17" ht="12.75">
      <c r="B20" s="242"/>
      <c r="C20" s="15"/>
      <c r="G20" s="38"/>
      <c r="H20" s="37"/>
      <c r="I20" s="37"/>
      <c r="J20" s="37"/>
      <c r="K20" s="37"/>
      <c r="L20" s="37"/>
      <c r="M20" s="37"/>
      <c r="N20" s="37"/>
      <c r="O20" s="37"/>
      <c r="P20" s="37"/>
      <c r="Q20" s="37"/>
    </row>
    <row r="21" spans="1:17" ht="12.75">
      <c r="A21" s="1" t="s">
        <v>46</v>
      </c>
      <c r="B21" s="122"/>
      <c r="G21" s="38"/>
      <c r="H21" s="37">
        <f>IF($B21="Yes",1,IF($B21="No",-1,0))</f>
        <v>0</v>
      </c>
      <c r="I21" s="37">
        <f aca="true" t="shared" si="5" ref="I21:Q21">IF($B21="Yes",1,0)</f>
        <v>0</v>
      </c>
      <c r="J21" s="37">
        <f>IF($B21="Yes",1,IF($B21="No",-1,0))</f>
        <v>0</v>
      </c>
      <c r="K21" s="37">
        <f t="shared" si="5"/>
        <v>0</v>
      </c>
      <c r="L21" s="37">
        <f t="shared" si="5"/>
        <v>0</v>
      </c>
      <c r="M21" s="37">
        <f t="shared" si="5"/>
        <v>0</v>
      </c>
      <c r="N21" s="37">
        <f t="shared" si="5"/>
        <v>0</v>
      </c>
      <c r="O21" s="37">
        <f t="shared" si="5"/>
        <v>0</v>
      </c>
      <c r="P21" s="37">
        <f t="shared" si="5"/>
        <v>0</v>
      </c>
      <c r="Q21" s="37">
        <f t="shared" si="5"/>
        <v>0</v>
      </c>
    </row>
    <row r="22" spans="2:17" ht="12.75">
      <c r="B22" s="3"/>
      <c r="G22" s="38"/>
      <c r="H22" s="37"/>
      <c r="I22" s="37"/>
      <c r="J22" s="37"/>
      <c r="K22" s="37"/>
      <c r="L22" s="37"/>
      <c r="M22" s="37"/>
      <c r="N22" s="37"/>
      <c r="O22" s="37"/>
      <c r="P22" s="37"/>
      <c r="Q22" s="37"/>
    </row>
    <row r="23" spans="1:17" ht="12.75">
      <c r="A23" s="8" t="s">
        <v>51</v>
      </c>
      <c r="B23" s="132"/>
      <c r="C23" s="13"/>
      <c r="G23" s="38"/>
      <c r="H23" s="37"/>
      <c r="I23" s="37"/>
      <c r="J23" s="37"/>
      <c r="K23" s="37"/>
      <c r="L23" s="37"/>
      <c r="M23" s="37"/>
      <c r="N23" s="37"/>
      <c r="O23" s="37"/>
      <c r="P23" s="37"/>
      <c r="Q23" s="37"/>
    </row>
    <row r="24" spans="1:17" ht="12.75">
      <c r="A24" s="16" t="s">
        <v>247</v>
      </c>
      <c r="B24" s="111"/>
      <c r="G24" s="38"/>
      <c r="H24" s="37"/>
      <c r="I24" s="37"/>
      <c r="J24" s="37"/>
      <c r="K24" s="37"/>
      <c r="L24" s="37"/>
      <c r="M24" s="37"/>
      <c r="N24" s="37"/>
      <c r="O24" s="37"/>
      <c r="P24" s="37"/>
      <c r="Q24" s="37"/>
    </row>
    <row r="25" spans="1:17" ht="12.75">
      <c r="A25" s="16" t="s">
        <v>248</v>
      </c>
      <c r="B25" s="111"/>
      <c r="G25" s="38"/>
      <c r="H25" s="37"/>
      <c r="I25" s="37"/>
      <c r="J25" s="37"/>
      <c r="K25" s="37"/>
      <c r="L25" s="37"/>
      <c r="M25" s="37"/>
      <c r="N25" s="37"/>
      <c r="O25" s="37"/>
      <c r="P25" s="37"/>
      <c r="Q25" s="37"/>
    </row>
    <row r="26" spans="1:17" ht="12.75">
      <c r="A26" s="16"/>
      <c r="B26" s="3"/>
      <c r="G26" s="38"/>
      <c r="H26" s="37"/>
      <c r="I26" s="37"/>
      <c r="J26" s="37"/>
      <c r="K26" s="37"/>
      <c r="L26" s="37"/>
      <c r="M26" s="37"/>
      <c r="N26" s="37"/>
      <c r="O26" s="37"/>
      <c r="P26" s="37"/>
      <c r="Q26" s="37"/>
    </row>
    <row r="27" spans="1:17" ht="12.75">
      <c r="A27" s="16" t="s">
        <v>249</v>
      </c>
      <c r="B27" s="111"/>
      <c r="G27" s="38"/>
      <c r="H27" s="37"/>
      <c r="I27" s="37"/>
      <c r="J27" s="37"/>
      <c r="K27" s="37"/>
      <c r="L27" s="37"/>
      <c r="M27" s="37"/>
      <c r="N27" s="37"/>
      <c r="O27" s="37"/>
      <c r="P27" s="37"/>
      <c r="Q27" s="37"/>
    </row>
    <row r="28" spans="1:17" ht="12.75">
      <c r="A28" s="16" t="s">
        <v>250</v>
      </c>
      <c r="B28" s="111"/>
      <c r="G28" s="38"/>
      <c r="H28" s="37"/>
      <c r="I28" s="37"/>
      <c r="J28" s="37"/>
      <c r="K28" s="37"/>
      <c r="L28" s="37"/>
      <c r="M28" s="37"/>
      <c r="N28" s="37"/>
      <c r="O28" s="37"/>
      <c r="P28" s="37"/>
      <c r="Q28" s="37"/>
    </row>
    <row r="29" spans="1:17" ht="12.75">
      <c r="A29" s="16"/>
      <c r="B29" s="3"/>
      <c r="G29" s="38"/>
      <c r="H29" s="37"/>
      <c r="I29" s="37"/>
      <c r="J29" s="37"/>
      <c r="K29" s="37"/>
      <c r="L29" s="37"/>
      <c r="M29" s="37"/>
      <c r="N29" s="37"/>
      <c r="O29" s="37"/>
      <c r="P29" s="37"/>
      <c r="Q29" s="37"/>
    </row>
    <row r="30" spans="1:17" ht="12.75">
      <c r="A30" s="16" t="s">
        <v>52</v>
      </c>
      <c r="B30" s="122"/>
      <c r="G30" s="38"/>
      <c r="H30" s="37"/>
      <c r="I30" s="37"/>
      <c r="J30" s="37"/>
      <c r="K30" s="37"/>
      <c r="L30" s="37"/>
      <c r="M30" s="37"/>
      <c r="N30" s="37"/>
      <c r="O30" s="37"/>
      <c r="P30" s="37"/>
      <c r="Q30" s="37"/>
    </row>
    <row r="31" spans="1:17" ht="25.5">
      <c r="A31" s="16" t="s">
        <v>195</v>
      </c>
      <c r="B31" s="122"/>
      <c r="G31" s="38"/>
      <c r="H31" s="37"/>
      <c r="I31" s="37">
        <f>IF($B31="Yes",1,0)</f>
        <v>0</v>
      </c>
      <c r="J31" s="37"/>
      <c r="K31" s="37">
        <f>IF($B31="Yes",1,0)</f>
        <v>0</v>
      </c>
      <c r="L31" s="37">
        <f>IF($B31="Yes",1,0)</f>
        <v>0</v>
      </c>
      <c r="M31" s="37"/>
      <c r="N31" s="37"/>
      <c r="O31" s="37"/>
      <c r="P31" s="37"/>
      <c r="Q31" s="37"/>
    </row>
    <row r="32" spans="1:17" ht="12.75">
      <c r="A32" s="16"/>
      <c r="B32" s="3"/>
      <c r="G32" s="38"/>
      <c r="H32" s="37"/>
      <c r="I32" s="37"/>
      <c r="J32" s="37"/>
      <c r="K32" s="37"/>
      <c r="L32" s="37"/>
      <c r="M32" s="37"/>
      <c r="N32" s="37"/>
      <c r="O32" s="37"/>
      <c r="P32" s="37"/>
      <c r="Q32" s="37"/>
    </row>
    <row r="33" spans="1:17" ht="25.5">
      <c r="A33" s="42" t="s">
        <v>401</v>
      </c>
      <c r="B33" s="122"/>
      <c r="G33" s="38"/>
      <c r="H33" s="37"/>
      <c r="I33" s="37">
        <f>IF($B33="Yes",1,0)</f>
        <v>0</v>
      </c>
      <c r="J33" s="37"/>
      <c r="K33" s="37"/>
      <c r="L33" s="37"/>
      <c r="M33" s="37"/>
      <c r="N33" s="37"/>
      <c r="O33" s="37"/>
      <c r="P33" s="37"/>
      <c r="Q33" s="37"/>
    </row>
    <row r="34" spans="1:17" ht="25.5">
      <c r="A34" s="42" t="s">
        <v>194</v>
      </c>
      <c r="B34" s="122"/>
      <c r="H34" s="37"/>
      <c r="I34" s="37"/>
      <c r="J34" s="37"/>
      <c r="K34" s="37">
        <f>IF($B34="Yes",1,0)</f>
        <v>0</v>
      </c>
      <c r="L34" s="37"/>
      <c r="M34" s="37"/>
      <c r="N34" s="37"/>
      <c r="O34" s="37"/>
      <c r="P34" s="37"/>
      <c r="Q34" s="37"/>
    </row>
    <row r="35" spans="7:17" ht="12.75">
      <c r="G35" s="38"/>
      <c r="H35" s="37"/>
      <c r="I35" s="37"/>
      <c r="J35" s="37"/>
      <c r="K35" s="37"/>
      <c r="L35" s="37"/>
      <c r="M35" s="37"/>
      <c r="N35" s="37"/>
      <c r="O35" s="37"/>
      <c r="P35" s="37"/>
      <c r="Q35" s="37"/>
    </row>
    <row r="36" spans="1:17" ht="12.75">
      <c r="A36" s="8" t="s">
        <v>53</v>
      </c>
      <c r="B36" s="132"/>
      <c r="C36" s="13"/>
      <c r="G36" s="38"/>
      <c r="H36" s="37"/>
      <c r="I36" s="37"/>
      <c r="J36" s="37"/>
      <c r="K36" s="37"/>
      <c r="L36" s="37"/>
      <c r="M36" s="37"/>
      <c r="N36" s="37"/>
      <c r="O36" s="37"/>
      <c r="P36" s="37"/>
      <c r="Q36" s="37"/>
    </row>
    <row r="37" spans="1:17" ht="12.75">
      <c r="A37" s="1" t="s">
        <v>222</v>
      </c>
      <c r="B37" s="122"/>
      <c r="G37" s="38"/>
      <c r="H37" s="37"/>
      <c r="I37" s="37"/>
      <c r="J37" s="37"/>
      <c r="K37" s="37"/>
      <c r="L37" s="37"/>
      <c r="M37" s="37"/>
      <c r="N37" s="37"/>
      <c r="O37" s="37"/>
      <c r="P37" s="37"/>
      <c r="Q37" s="37"/>
    </row>
    <row r="38" spans="1:17" ht="12.75">
      <c r="A38" s="1" t="s">
        <v>224</v>
      </c>
      <c r="B38" s="111"/>
      <c r="G38" s="38"/>
      <c r="H38" s="37"/>
      <c r="I38" s="37"/>
      <c r="J38" s="37"/>
      <c r="K38" s="37"/>
      <c r="L38" s="37"/>
      <c r="M38" s="37"/>
      <c r="N38" s="37"/>
      <c r="O38" s="37"/>
      <c r="P38" s="37"/>
      <c r="Q38" s="37"/>
    </row>
    <row r="39" spans="1:17" ht="12.75">
      <c r="A39" s="1" t="s">
        <v>226</v>
      </c>
      <c r="B39" s="111"/>
      <c r="G39" s="38"/>
      <c r="H39" s="37"/>
      <c r="I39" s="37"/>
      <c r="J39" s="37"/>
      <c r="K39" s="37"/>
      <c r="L39" s="37"/>
      <c r="M39" s="37"/>
      <c r="N39" s="37"/>
      <c r="O39" s="37"/>
      <c r="P39" s="37"/>
      <c r="Q39" s="37"/>
    </row>
    <row r="40" spans="7:17" ht="12.75">
      <c r="G40" s="38"/>
      <c r="H40" s="37"/>
      <c r="I40" s="37"/>
      <c r="J40" s="37"/>
      <c r="K40" s="37"/>
      <c r="L40" s="37"/>
      <c r="M40" s="37"/>
      <c r="N40" s="37"/>
      <c r="O40" s="37"/>
      <c r="P40" s="37"/>
      <c r="Q40" s="37"/>
    </row>
    <row r="41" spans="1:17" ht="12.75">
      <c r="A41" s="1" t="s">
        <v>223</v>
      </c>
      <c r="B41" s="122"/>
      <c r="H41" s="37"/>
      <c r="I41" s="37"/>
      <c r="J41" s="37"/>
      <c r="K41" s="37"/>
      <c r="L41" s="37"/>
      <c r="M41" s="37"/>
      <c r="N41" s="37"/>
      <c r="O41" s="37"/>
      <c r="P41" s="37"/>
      <c r="Q41" s="37"/>
    </row>
    <row r="42" spans="1:17" ht="12.75">
      <c r="A42" s="1" t="s">
        <v>225</v>
      </c>
      <c r="B42" s="111"/>
      <c r="H42" s="37"/>
      <c r="I42" s="37"/>
      <c r="J42" s="37"/>
      <c r="K42" s="37"/>
      <c r="L42" s="37"/>
      <c r="M42" s="37"/>
      <c r="N42" s="37"/>
      <c r="O42" s="37"/>
      <c r="P42" s="37"/>
      <c r="Q42" s="37"/>
    </row>
    <row r="43" spans="1:17" ht="12.75">
      <c r="A43" s="1" t="s">
        <v>307</v>
      </c>
      <c r="B43" s="111"/>
      <c r="H43" s="37"/>
      <c r="I43" s="37"/>
      <c r="J43" s="37"/>
      <c r="K43" s="37"/>
      <c r="L43" s="37"/>
      <c r="M43" s="37"/>
      <c r="N43" s="37"/>
      <c r="O43" s="37"/>
      <c r="P43" s="37"/>
      <c r="Q43" s="37"/>
    </row>
    <row r="44" spans="2:17" ht="12.75">
      <c r="B44" s="3"/>
      <c r="H44" s="37"/>
      <c r="I44" s="37"/>
      <c r="J44" s="37"/>
      <c r="K44" s="37"/>
      <c r="L44" s="37"/>
      <c r="M44" s="37"/>
      <c r="N44" s="37"/>
      <c r="O44" s="37"/>
      <c r="P44" s="37"/>
      <c r="Q44" s="37"/>
    </row>
    <row r="45" spans="1:17" ht="12.75">
      <c r="A45" s="1" t="s">
        <v>65</v>
      </c>
      <c r="B45" s="122"/>
      <c r="C45" s="1" t="s">
        <v>66</v>
      </c>
      <c r="H45" s="37"/>
      <c r="I45" s="37"/>
      <c r="J45" s="37"/>
      <c r="K45" s="37"/>
      <c r="L45" s="37"/>
      <c r="M45" s="37"/>
      <c r="N45" s="37"/>
      <c r="O45" s="37"/>
      <c r="P45" s="37"/>
      <c r="Q45" s="37"/>
    </row>
    <row r="46" spans="2:17" ht="12.75">
      <c r="B46" s="3"/>
      <c r="H46" s="37"/>
      <c r="I46" s="37"/>
      <c r="J46" s="37"/>
      <c r="K46" s="37"/>
      <c r="L46" s="37"/>
      <c r="M46" s="37"/>
      <c r="N46" s="37"/>
      <c r="O46" s="37"/>
      <c r="P46" s="37"/>
      <c r="Q46" s="37"/>
    </row>
    <row r="47" spans="1:17" ht="38.25">
      <c r="A47" s="42" t="s">
        <v>308</v>
      </c>
      <c r="B47" s="122"/>
      <c r="H47" s="37"/>
      <c r="I47" s="37">
        <f aca="true" t="shared" si="6" ref="I47:L48">IF($B47="Yes",1,0)</f>
        <v>0</v>
      </c>
      <c r="J47" s="37"/>
      <c r="K47" s="37">
        <f t="shared" si="6"/>
        <v>0</v>
      </c>
      <c r="L47" s="37">
        <f t="shared" si="6"/>
        <v>0</v>
      </c>
      <c r="M47" s="37"/>
      <c r="N47" s="37"/>
      <c r="O47" s="37"/>
      <c r="P47" s="37"/>
      <c r="Q47" s="37"/>
    </row>
    <row r="48" spans="1:17" ht="25.5">
      <c r="A48" s="42" t="s">
        <v>227</v>
      </c>
      <c r="B48" s="122"/>
      <c r="H48" s="37"/>
      <c r="I48" s="37">
        <f t="shared" si="6"/>
        <v>0</v>
      </c>
      <c r="J48" s="37"/>
      <c r="K48" s="37"/>
      <c r="L48" s="37"/>
      <c r="M48" s="37"/>
      <c r="N48" s="37"/>
      <c r="O48" s="37"/>
      <c r="P48" s="37"/>
      <c r="Q48" s="37"/>
    </row>
    <row r="49" spans="7:17" ht="12.75">
      <c r="G49" s="22"/>
      <c r="H49" s="37"/>
      <c r="I49" s="37"/>
      <c r="J49" s="37"/>
      <c r="K49" s="37"/>
      <c r="L49" s="37"/>
      <c r="M49" s="37"/>
      <c r="N49" s="37"/>
      <c r="O49" s="37"/>
      <c r="P49" s="37"/>
      <c r="Q49" s="37"/>
    </row>
    <row r="50" spans="1:17" ht="12.75">
      <c r="A50" s="8" t="s">
        <v>54</v>
      </c>
      <c r="B50" s="132"/>
      <c r="C50" s="13"/>
      <c r="H50" s="37"/>
      <c r="I50" s="37"/>
      <c r="J50" s="37"/>
      <c r="K50" s="37"/>
      <c r="L50" s="37"/>
      <c r="M50" s="37"/>
      <c r="N50" s="37"/>
      <c r="O50" s="37"/>
      <c r="P50" s="37"/>
      <c r="Q50" s="37"/>
    </row>
    <row r="51" spans="1:17" ht="12.75">
      <c r="A51" s="1" t="s">
        <v>230</v>
      </c>
      <c r="B51" s="243"/>
      <c r="C51" s="15"/>
      <c r="H51" s="37"/>
      <c r="I51" s="37"/>
      <c r="J51" s="37"/>
      <c r="K51" s="37"/>
      <c r="L51" s="37"/>
      <c r="M51" s="37"/>
      <c r="N51" s="37"/>
      <c r="O51" s="37"/>
      <c r="P51" s="37"/>
      <c r="Q51" s="37"/>
    </row>
    <row r="52" spans="1:17" ht="25.5">
      <c r="A52" s="16" t="s">
        <v>251</v>
      </c>
      <c r="B52" s="111"/>
      <c r="C52" s="15"/>
      <c r="H52" s="37"/>
      <c r="I52" s="37"/>
      <c r="J52" s="37"/>
      <c r="K52" s="37"/>
      <c r="L52" s="37"/>
      <c r="M52" s="37"/>
      <c r="N52" s="37"/>
      <c r="O52" s="37"/>
      <c r="P52" s="37"/>
      <c r="Q52" s="37"/>
    </row>
    <row r="53" spans="1:17" ht="25.5">
      <c r="A53" s="16" t="s">
        <v>253</v>
      </c>
      <c r="B53" s="111"/>
      <c r="C53" s="15"/>
      <c r="H53" s="37"/>
      <c r="I53" s="37"/>
      <c r="J53" s="37"/>
      <c r="K53" s="37"/>
      <c r="L53" s="37"/>
      <c r="M53" s="37"/>
      <c r="N53" s="37"/>
      <c r="O53" s="37"/>
      <c r="P53" s="37"/>
      <c r="Q53" s="37"/>
    </row>
    <row r="54" spans="3:17" ht="12.75">
      <c r="C54" s="15"/>
      <c r="H54" s="37"/>
      <c r="I54" s="37"/>
      <c r="J54" s="37"/>
      <c r="K54" s="37"/>
      <c r="L54" s="37"/>
      <c r="M54" s="37"/>
      <c r="N54" s="37"/>
      <c r="O54" s="37"/>
      <c r="P54" s="37"/>
      <c r="Q54" s="37"/>
    </row>
    <row r="55" spans="1:17" ht="12.75">
      <c r="A55" s="1" t="s">
        <v>231</v>
      </c>
      <c r="B55" s="243"/>
      <c r="C55" s="15"/>
      <c r="H55" s="37"/>
      <c r="I55" s="37"/>
      <c r="J55" s="37"/>
      <c r="K55" s="37"/>
      <c r="L55" s="37"/>
      <c r="M55" s="37"/>
      <c r="N55" s="37"/>
      <c r="O55" s="37"/>
      <c r="P55" s="37"/>
      <c r="Q55" s="37"/>
    </row>
    <row r="56" spans="1:17" ht="12.75">
      <c r="A56" s="1" t="s">
        <v>252</v>
      </c>
      <c r="B56" s="111"/>
      <c r="C56" s="15"/>
      <c r="H56" s="37"/>
      <c r="I56" s="37"/>
      <c r="J56" s="37"/>
      <c r="K56" s="37"/>
      <c r="L56" s="37"/>
      <c r="M56" s="37"/>
      <c r="N56" s="37"/>
      <c r="O56" s="37"/>
      <c r="P56" s="37"/>
      <c r="Q56" s="37"/>
    </row>
    <row r="57" spans="1:17" ht="12.75">
      <c r="A57" s="1" t="s">
        <v>254</v>
      </c>
      <c r="B57" s="111"/>
      <c r="C57" s="15"/>
      <c r="H57" s="37"/>
      <c r="I57" s="37"/>
      <c r="J57" s="37"/>
      <c r="K57" s="37"/>
      <c r="L57" s="37"/>
      <c r="M57" s="37"/>
      <c r="N57" s="37"/>
      <c r="O57" s="37"/>
      <c r="P57" s="37"/>
      <c r="Q57" s="37"/>
    </row>
    <row r="58" spans="1:17" ht="12.75">
      <c r="A58" s="15"/>
      <c r="B58" s="242"/>
      <c r="C58" s="15"/>
      <c r="H58" s="37"/>
      <c r="I58" s="37"/>
      <c r="J58" s="37"/>
      <c r="K58" s="37"/>
      <c r="L58" s="37"/>
      <c r="M58" s="37"/>
      <c r="N58" s="37"/>
      <c r="O58" s="37"/>
      <c r="P58" s="37"/>
      <c r="Q58" s="37"/>
    </row>
    <row r="59" spans="1:17" ht="12.75">
      <c r="A59" s="1" t="s">
        <v>229</v>
      </c>
      <c r="B59" s="243"/>
      <c r="C59" s="23"/>
      <c r="H59" s="37"/>
      <c r="I59" s="37"/>
      <c r="J59" s="37"/>
      <c r="K59" s="37"/>
      <c r="L59" s="37"/>
      <c r="M59" s="37"/>
      <c r="N59" s="37"/>
      <c r="O59" s="37"/>
      <c r="P59" s="37"/>
      <c r="Q59" s="37"/>
    </row>
    <row r="60" spans="1:17" ht="12.75">
      <c r="A60" s="1" t="s">
        <v>239</v>
      </c>
      <c r="B60" s="122"/>
      <c r="C60" s="131"/>
      <c r="G60" s="22"/>
      <c r="H60" s="37"/>
      <c r="I60" s="37"/>
      <c r="J60" s="37"/>
      <c r="K60" s="37"/>
      <c r="L60" s="37"/>
      <c r="M60" s="37"/>
      <c r="N60" s="37"/>
      <c r="O60" s="37"/>
      <c r="P60" s="37"/>
      <c r="Q60" s="37"/>
    </row>
    <row r="61" spans="1:17" ht="12.75">
      <c r="A61" s="1" t="s">
        <v>241</v>
      </c>
      <c r="B61" s="122"/>
      <c r="C61" s="131"/>
      <c r="G61" s="22"/>
      <c r="H61" s="37"/>
      <c r="I61" s="37"/>
      <c r="J61" s="37"/>
      <c r="K61" s="37"/>
      <c r="L61" s="37"/>
      <c r="M61" s="37"/>
      <c r="N61" s="37"/>
      <c r="O61" s="37"/>
      <c r="P61" s="37"/>
      <c r="Q61" s="37"/>
    </row>
    <row r="62" spans="7:17" ht="12.75">
      <c r="G62" s="22"/>
      <c r="H62" s="37"/>
      <c r="I62" s="37"/>
      <c r="J62" s="37"/>
      <c r="K62" s="37"/>
      <c r="L62" s="37"/>
      <c r="M62" s="37"/>
      <c r="N62" s="37"/>
      <c r="O62" s="37"/>
      <c r="P62" s="37"/>
      <c r="Q62" s="37"/>
    </row>
    <row r="63" spans="1:17" ht="12.75">
      <c r="A63" s="1" t="s">
        <v>228</v>
      </c>
      <c r="B63" s="243"/>
      <c r="C63" s="23"/>
      <c r="H63" s="37"/>
      <c r="I63" s="37"/>
      <c r="J63" s="37"/>
      <c r="K63" s="37"/>
      <c r="L63" s="37"/>
      <c r="M63" s="37"/>
      <c r="N63" s="37"/>
      <c r="O63" s="37"/>
      <c r="P63" s="37"/>
      <c r="Q63" s="37"/>
    </row>
    <row r="64" spans="1:17" ht="12.75">
      <c r="A64" s="1" t="s">
        <v>240</v>
      </c>
      <c r="B64" s="122"/>
      <c r="C64" s="131"/>
      <c r="H64" s="37"/>
      <c r="I64" s="37"/>
      <c r="J64" s="37"/>
      <c r="K64" s="37"/>
      <c r="L64" s="37"/>
      <c r="M64" s="37"/>
      <c r="N64" s="37"/>
      <c r="O64" s="37"/>
      <c r="P64" s="37"/>
      <c r="Q64" s="37"/>
    </row>
    <row r="65" spans="1:17" ht="12.75">
      <c r="A65" s="1" t="s">
        <v>242</v>
      </c>
      <c r="B65" s="122"/>
      <c r="C65" s="131"/>
      <c r="H65" s="37"/>
      <c r="I65" s="37"/>
      <c r="J65" s="37"/>
      <c r="K65" s="37"/>
      <c r="L65" s="37"/>
      <c r="M65" s="37"/>
      <c r="N65" s="37"/>
      <c r="O65" s="37"/>
      <c r="P65" s="37"/>
      <c r="Q65" s="37"/>
    </row>
    <row r="66" spans="2:17" ht="12.75">
      <c r="B66" s="3"/>
      <c r="H66" s="37"/>
      <c r="I66" s="37"/>
      <c r="J66" s="37"/>
      <c r="K66" s="37"/>
      <c r="L66" s="37"/>
      <c r="M66" s="37"/>
      <c r="N66" s="37"/>
      <c r="O66" s="37"/>
      <c r="P66" s="37"/>
      <c r="Q66" s="37"/>
    </row>
    <row r="67" spans="1:17" ht="15" customHeight="1">
      <c r="A67" s="42" t="s">
        <v>196</v>
      </c>
      <c r="B67" s="122"/>
      <c r="H67" s="37">
        <f aca="true" t="shared" si="7" ref="H67:J68">IF($B67="Yes",1,0)</f>
        <v>0</v>
      </c>
      <c r="I67" s="37">
        <f t="shared" si="7"/>
        <v>0</v>
      </c>
      <c r="J67" s="37">
        <f t="shared" si="7"/>
        <v>0</v>
      </c>
      <c r="K67" s="37">
        <f>IF($B67="Yes",-1,0)</f>
        <v>0</v>
      </c>
      <c r="L67" s="37"/>
      <c r="M67" s="37"/>
      <c r="N67" s="37"/>
      <c r="O67" s="37"/>
      <c r="P67" s="37"/>
      <c r="Q67" s="37"/>
    </row>
    <row r="68" spans="1:17" ht="25.5">
      <c r="A68" s="42" t="s">
        <v>197</v>
      </c>
      <c r="B68" s="122"/>
      <c r="H68" s="37">
        <f t="shared" si="7"/>
        <v>0</v>
      </c>
      <c r="I68" s="37">
        <f>IF($B68="Yes",-1,0)</f>
        <v>0</v>
      </c>
      <c r="J68" s="37">
        <f t="shared" si="7"/>
        <v>0</v>
      </c>
      <c r="K68" s="37">
        <f>IF($B68="Yes",-1,0)</f>
        <v>0</v>
      </c>
      <c r="L68" s="37"/>
      <c r="M68" s="37"/>
      <c r="N68" s="37"/>
      <c r="O68" s="37"/>
      <c r="P68" s="37"/>
      <c r="Q68" s="37"/>
    </row>
    <row r="69" spans="8:17" ht="12.75">
      <c r="H69" s="37"/>
      <c r="I69" s="37"/>
      <c r="J69" s="37"/>
      <c r="K69" s="37"/>
      <c r="L69" s="37"/>
      <c r="M69" s="37"/>
      <c r="N69" s="37"/>
      <c r="O69" s="37"/>
      <c r="P69" s="37"/>
      <c r="Q69" s="37"/>
    </row>
    <row r="70" spans="1:17" ht="12.75">
      <c r="A70" s="8" t="s">
        <v>55</v>
      </c>
      <c r="B70" s="132"/>
      <c r="C70" s="13"/>
      <c r="H70" s="37"/>
      <c r="I70" s="37"/>
      <c r="J70" s="37"/>
      <c r="K70" s="37"/>
      <c r="L70" s="37"/>
      <c r="M70" s="37"/>
      <c r="N70" s="37"/>
      <c r="O70" s="37"/>
      <c r="P70" s="37"/>
      <c r="Q70" s="37"/>
    </row>
    <row r="71" spans="1:17" ht="12.75">
      <c r="A71" s="1" t="s">
        <v>398</v>
      </c>
      <c r="B71" s="243"/>
      <c r="H71" s="37"/>
      <c r="I71" s="37"/>
      <c r="J71" s="37"/>
      <c r="K71" s="37"/>
      <c r="L71" s="37"/>
      <c r="M71" s="37"/>
      <c r="N71" s="37"/>
      <c r="O71" s="37"/>
      <c r="P71" s="37"/>
      <c r="Q71" s="37"/>
    </row>
    <row r="72" spans="1:17" ht="12.75">
      <c r="A72" s="1" t="s">
        <v>399</v>
      </c>
      <c r="B72" s="243"/>
      <c r="H72" s="37"/>
      <c r="I72" s="37"/>
      <c r="J72" s="37"/>
      <c r="K72" s="37"/>
      <c r="L72" s="37"/>
      <c r="M72" s="37"/>
      <c r="N72" s="37"/>
      <c r="O72" s="37"/>
      <c r="P72" s="37"/>
      <c r="Q72" s="37"/>
    </row>
    <row r="73" spans="2:17" ht="12.75">
      <c r="B73" s="3"/>
      <c r="H73" s="37"/>
      <c r="I73" s="37"/>
      <c r="J73" s="37"/>
      <c r="K73" s="37"/>
      <c r="L73" s="37"/>
      <c r="M73" s="37"/>
      <c r="N73" s="37"/>
      <c r="O73" s="37"/>
      <c r="P73" s="37"/>
      <c r="Q73" s="37"/>
    </row>
    <row r="74" spans="1:17" ht="12.75">
      <c r="A74" s="1" t="s">
        <v>433</v>
      </c>
      <c r="B74" s="111"/>
      <c r="H74" s="37"/>
      <c r="I74" s="37"/>
      <c r="J74" s="37"/>
      <c r="K74" s="37"/>
      <c r="L74" s="37"/>
      <c r="M74" s="37"/>
      <c r="N74" s="37"/>
      <c r="O74" s="37"/>
      <c r="P74" s="37"/>
      <c r="Q74" s="37"/>
    </row>
    <row r="75" spans="1:17" ht="12.75">
      <c r="A75" s="1" t="s">
        <v>434</v>
      </c>
      <c r="B75" s="111"/>
      <c r="H75" s="37"/>
      <c r="I75" s="37"/>
      <c r="J75" s="37"/>
      <c r="K75" s="37"/>
      <c r="L75" s="37"/>
      <c r="M75" s="37"/>
      <c r="N75" s="37"/>
      <c r="O75" s="37"/>
      <c r="P75" s="37"/>
      <c r="Q75" s="37"/>
    </row>
    <row r="76" spans="2:17" ht="12.75">
      <c r="B76" s="111"/>
      <c r="H76" s="37"/>
      <c r="I76" s="37"/>
      <c r="J76" s="37"/>
      <c r="K76" s="37"/>
      <c r="L76" s="37"/>
      <c r="M76" s="37"/>
      <c r="N76" s="37"/>
      <c r="O76" s="37"/>
      <c r="P76" s="37"/>
      <c r="Q76" s="37"/>
    </row>
    <row r="77" spans="1:17" ht="25.5">
      <c r="A77" s="42" t="s">
        <v>198</v>
      </c>
      <c r="B77" s="122"/>
      <c r="H77" s="37">
        <f>IF($B77="Yes",1,IF($B77="No",-1,0))</f>
        <v>0</v>
      </c>
      <c r="I77" s="37"/>
      <c r="J77" s="37">
        <f>IF($B77="Yes",1,IF($B77="No",-1,0))</f>
        <v>0</v>
      </c>
      <c r="K77" s="37"/>
      <c r="L77" s="37"/>
      <c r="M77" s="37"/>
      <c r="N77" s="37"/>
      <c r="O77" s="37"/>
      <c r="P77" s="37"/>
      <c r="Q77" s="37"/>
    </row>
    <row r="78" spans="8:17" ht="12.75">
      <c r="H78" s="37"/>
      <c r="I78" s="37"/>
      <c r="J78" s="37"/>
      <c r="K78" s="37"/>
      <c r="L78" s="37"/>
      <c r="M78" s="37"/>
      <c r="N78" s="37"/>
      <c r="O78" s="37"/>
      <c r="P78" s="37"/>
      <c r="Q78" s="37"/>
    </row>
    <row r="79" spans="1:17" ht="12.75">
      <c r="A79" s="8" t="s">
        <v>56</v>
      </c>
      <c r="B79" s="132"/>
      <c r="C79" s="13"/>
      <c r="H79" s="37"/>
      <c r="I79" s="37"/>
      <c r="J79" s="37"/>
      <c r="K79" s="37"/>
      <c r="L79" s="37"/>
      <c r="M79" s="37"/>
      <c r="N79" s="37"/>
      <c r="O79" s="37"/>
      <c r="P79" s="37"/>
      <c r="Q79" s="37"/>
    </row>
    <row r="80" spans="1:17" ht="12.75">
      <c r="A80" s="1" t="s">
        <v>63</v>
      </c>
      <c r="B80" s="122"/>
      <c r="C80" s="14"/>
      <c r="H80" s="37"/>
      <c r="I80" s="37"/>
      <c r="J80" s="37"/>
      <c r="K80" s="37"/>
      <c r="L80" s="37"/>
      <c r="M80" s="37"/>
      <c r="N80" s="37"/>
      <c r="O80" s="37"/>
      <c r="P80" s="37"/>
      <c r="Q80" s="37"/>
    </row>
    <row r="81" spans="2:17" ht="12.75">
      <c r="B81" s="14"/>
      <c r="C81" s="14"/>
      <c r="H81" s="37"/>
      <c r="I81" s="37"/>
      <c r="J81" s="37"/>
      <c r="K81" s="37"/>
      <c r="L81" s="37"/>
      <c r="M81" s="37"/>
      <c r="N81" s="37"/>
      <c r="O81" s="37"/>
      <c r="P81" s="37"/>
      <c r="Q81" s="37"/>
    </row>
    <row r="82" spans="1:17" ht="12.75">
      <c r="A82" s="1" t="s">
        <v>57</v>
      </c>
      <c r="B82" s="122"/>
      <c r="H82" s="37"/>
      <c r="I82" s="37"/>
      <c r="J82" s="37"/>
      <c r="K82" s="37"/>
      <c r="L82" s="37"/>
      <c r="M82" s="37"/>
      <c r="N82" s="37"/>
      <c r="O82" s="37"/>
      <c r="P82" s="37"/>
      <c r="Q82" s="37"/>
    </row>
    <row r="83" spans="1:17" ht="12.75">
      <c r="A83" s="1" t="s">
        <v>59</v>
      </c>
      <c r="B83" s="122"/>
      <c r="H83" s="37"/>
      <c r="I83" s="37"/>
      <c r="J83" s="37"/>
      <c r="K83" s="37"/>
      <c r="L83" s="37"/>
      <c r="M83" s="37"/>
      <c r="N83" s="37"/>
      <c r="O83" s="37"/>
      <c r="P83" s="37"/>
      <c r="Q83" s="37"/>
    </row>
    <row r="84" spans="1:17" ht="12.75">
      <c r="A84" s="1" t="s">
        <v>61</v>
      </c>
      <c r="B84" s="122"/>
      <c r="H84" s="37"/>
      <c r="I84" s="37"/>
      <c r="J84" s="37"/>
      <c r="K84" s="37"/>
      <c r="L84" s="37"/>
      <c r="M84" s="37"/>
      <c r="N84" s="37"/>
      <c r="O84" s="37"/>
      <c r="P84" s="37"/>
      <c r="Q84" s="37"/>
    </row>
    <row r="85" spans="2:17" ht="12.75">
      <c r="B85" s="3"/>
      <c r="H85" s="37"/>
      <c r="I85" s="37"/>
      <c r="J85" s="37"/>
      <c r="K85" s="37"/>
      <c r="L85" s="37"/>
      <c r="M85" s="37"/>
      <c r="N85" s="37"/>
      <c r="O85" s="37"/>
      <c r="P85" s="37"/>
      <c r="Q85" s="37"/>
    </row>
    <row r="86" spans="1:17" ht="25.5">
      <c r="A86" s="42" t="s">
        <v>315</v>
      </c>
      <c r="H86" s="37"/>
      <c r="I86" s="37"/>
      <c r="J86" s="37"/>
      <c r="K86" s="37"/>
      <c r="L86" s="37"/>
      <c r="M86" s="37"/>
      <c r="N86" s="37"/>
      <c r="O86" s="37"/>
      <c r="P86" s="37"/>
      <c r="Q86" s="37"/>
    </row>
    <row r="87" spans="1:17" ht="12.75">
      <c r="A87" s="3" t="str">
        <f>E9</f>
        <v>Government</v>
      </c>
      <c r="B87" s="122"/>
      <c r="C87" s="43">
        <f>IF(B87="yes",A87,"")</f>
      </c>
      <c r="H87" s="37"/>
      <c r="I87" s="37"/>
      <c r="J87" s="37"/>
      <c r="K87" s="37"/>
      <c r="L87" s="37"/>
      <c r="M87" s="37"/>
      <c r="N87" s="37"/>
      <c r="O87" s="37"/>
      <c r="P87" s="37"/>
      <c r="Q87" s="37"/>
    </row>
    <row r="88" spans="1:17" ht="12.75">
      <c r="A88" s="3" t="str">
        <f aca="true" t="shared" si="8" ref="A88:A93">E10</f>
        <v>Manufacturing</v>
      </c>
      <c r="B88" s="122"/>
      <c r="C88" s="43">
        <f>IF(AND(B87="yes",B88="yes"),", "&amp;A88,IF(B88="yes",A88,""))</f>
      </c>
      <c r="H88" s="37"/>
      <c r="I88" s="37"/>
      <c r="J88" s="37"/>
      <c r="K88" s="37">
        <f>IF($B88="Yes",1,0)</f>
        <v>0</v>
      </c>
      <c r="L88" s="37"/>
      <c r="M88" s="37"/>
      <c r="N88" s="37"/>
      <c r="O88" s="37"/>
      <c r="P88" s="37"/>
      <c r="Q88" s="37"/>
    </row>
    <row r="89" spans="1:17" ht="12.75">
      <c r="A89" s="3" t="str">
        <f t="shared" si="8"/>
        <v>Wholesale / retail trade</v>
      </c>
      <c r="B89" s="122"/>
      <c r="C89" s="43">
        <f>IF(AND(B89="yes",OR(B87="yes",B88="yes")),", "&amp;A89,IF(B89="yes",A89,""))</f>
      </c>
      <c r="H89" s="37"/>
      <c r="I89" s="37"/>
      <c r="J89" s="37">
        <f>IF($B89="Yes",1,0)</f>
        <v>0</v>
      </c>
      <c r="K89" s="37"/>
      <c r="L89" s="37"/>
      <c r="M89" s="37"/>
      <c r="N89" s="37">
        <f>IF($B89="Yes",1,0)</f>
        <v>0</v>
      </c>
      <c r="O89" s="37"/>
      <c r="P89" s="37"/>
      <c r="Q89" s="37"/>
    </row>
    <row r="90" spans="1:17" ht="12.75">
      <c r="A90" s="3" t="str">
        <f t="shared" si="8"/>
        <v>Finance / professional and business</v>
      </c>
      <c r="B90" s="122"/>
      <c r="C90" s="43">
        <f>IF(AND(B90="yes",OR(B87="yes",B88="yes",B89="yes")),", "&amp;A90,IF(B90="yes",A90,""))</f>
      </c>
      <c r="H90" s="37"/>
      <c r="I90" s="37">
        <f>IF($B90="Yes",1,0)</f>
        <v>0</v>
      </c>
      <c r="J90" s="37"/>
      <c r="K90" s="37"/>
      <c r="L90" s="37"/>
      <c r="M90" s="37"/>
      <c r="N90" s="37"/>
      <c r="O90" s="37"/>
      <c r="P90" s="37"/>
      <c r="Q90" s="37"/>
    </row>
    <row r="91" spans="1:17" ht="12.75">
      <c r="A91" s="3" t="str">
        <f t="shared" si="8"/>
        <v>Education and healthcare</v>
      </c>
      <c r="B91" s="122"/>
      <c r="C91" s="43">
        <f>IF(AND(B91="yes",OR(B87="yes",B88="yes",B89="yes",B90="yes")),", "&amp;A91,IF(B91="yes",A91,""))</f>
      </c>
      <c r="H91" s="37"/>
      <c r="I91" s="37">
        <f>IF($B91="Yes",1,0)</f>
        <v>0</v>
      </c>
      <c r="J91" s="37"/>
      <c r="K91" s="37"/>
      <c r="L91" s="37"/>
      <c r="M91" s="37"/>
      <c r="N91" s="37"/>
      <c r="O91" s="37"/>
      <c r="P91" s="37"/>
      <c r="Q91" s="37"/>
    </row>
    <row r="92" spans="1:17" ht="12.75">
      <c r="A92" s="3" t="str">
        <f t="shared" si="8"/>
        <v>Leisure and hospitality</v>
      </c>
      <c r="B92" s="122"/>
      <c r="C92" s="43">
        <f>IF(AND(B92="yes",OR(B87="yes",B88="yes",B89="yes",B90="yes",B91="yes")),", "&amp;A92,IF(B92="yes",A92,""))</f>
      </c>
      <c r="H92" s="37"/>
      <c r="I92" s="37"/>
      <c r="J92" s="37"/>
      <c r="K92" s="37"/>
      <c r="L92" s="37"/>
      <c r="M92" s="37">
        <f>IF($B92="Yes",1,0)</f>
        <v>0</v>
      </c>
      <c r="N92" s="37"/>
      <c r="O92" s="37"/>
      <c r="P92" s="37"/>
      <c r="Q92" s="37"/>
    </row>
    <row r="93" spans="1:17" ht="12.75">
      <c r="A93" s="3" t="str">
        <f t="shared" si="8"/>
        <v>Other</v>
      </c>
      <c r="B93" s="122"/>
      <c r="C93" s="43">
        <f>IF(AND(B93&lt;&gt;0,OR(B87="yes",B88="yes",B89="yes",B90="yes",B91="yes",B92="yes")),", "&amp;B93,IF(B93="yes",B93,""))</f>
      </c>
      <c r="H93" s="37"/>
      <c r="I93" s="37"/>
      <c r="J93" s="37"/>
      <c r="K93" s="37"/>
      <c r="L93" s="37"/>
      <c r="M93" s="37"/>
      <c r="N93" s="37"/>
      <c r="O93" s="37"/>
      <c r="P93" s="37"/>
      <c r="Q93" s="37"/>
    </row>
    <row r="94" spans="8:17" ht="12.75">
      <c r="H94" s="37"/>
      <c r="I94" s="37"/>
      <c r="J94" s="37"/>
      <c r="K94" s="37"/>
      <c r="L94" s="37"/>
      <c r="M94" s="37"/>
      <c r="N94" s="37"/>
      <c r="O94" s="37"/>
      <c r="P94" s="37"/>
      <c r="Q94" s="37"/>
    </row>
    <row r="95" spans="1:17" ht="25.5">
      <c r="A95" s="42" t="s">
        <v>316</v>
      </c>
      <c r="H95" s="37"/>
      <c r="I95" s="37"/>
      <c r="J95" s="37"/>
      <c r="K95" s="37"/>
      <c r="L95" s="37"/>
      <c r="M95" s="37"/>
      <c r="N95" s="37"/>
      <c r="O95" s="37"/>
      <c r="P95" s="37"/>
      <c r="Q95" s="37"/>
    </row>
    <row r="96" spans="1:17" ht="12.75">
      <c r="A96" s="3" t="str">
        <f>E9</f>
        <v>Government</v>
      </c>
      <c r="B96" s="122"/>
      <c r="C96" s="43">
        <f>IF(B96="yes",A96,"")</f>
      </c>
      <c r="H96" s="37"/>
      <c r="I96" s="37"/>
      <c r="J96" s="37"/>
      <c r="K96" s="37"/>
      <c r="L96" s="37"/>
      <c r="M96" s="37"/>
      <c r="N96" s="37"/>
      <c r="O96" s="37"/>
      <c r="P96" s="37"/>
      <c r="Q96" s="37"/>
    </row>
    <row r="97" spans="1:17" ht="12.75">
      <c r="A97" s="3" t="str">
        <f aca="true" t="shared" si="9" ref="A97:A102">E10</f>
        <v>Manufacturing</v>
      </c>
      <c r="B97" s="122"/>
      <c r="C97" s="43">
        <f>IF(AND(B96="yes",B97="yes"),", "&amp;A97,IF(B97="yes",A97,""))</f>
      </c>
      <c r="H97" s="37"/>
      <c r="I97" s="37"/>
      <c r="J97" s="37"/>
      <c r="K97" s="37">
        <f>IF($B97="Yes",-1,0)</f>
        <v>0</v>
      </c>
      <c r="L97" s="37"/>
      <c r="M97" s="37"/>
      <c r="N97" s="37"/>
      <c r="O97" s="37"/>
      <c r="P97" s="37"/>
      <c r="Q97" s="37"/>
    </row>
    <row r="98" spans="1:17" ht="12.75">
      <c r="A98" s="3" t="str">
        <f t="shared" si="9"/>
        <v>Wholesale / retail trade</v>
      </c>
      <c r="B98" s="122"/>
      <c r="C98" s="43">
        <f>IF(AND(B98="yes",OR(B96="yes",B97="yes")),", "&amp;A98,IF(B98="yes",A98,""))</f>
      </c>
      <c r="H98" s="37"/>
      <c r="I98" s="37"/>
      <c r="J98" s="37">
        <f>IF($B98="Yes",-1,0)</f>
        <v>0</v>
      </c>
      <c r="K98" s="37"/>
      <c r="L98" s="37"/>
      <c r="M98" s="37"/>
      <c r="N98" s="37">
        <f>IF($B98="Yes",-1,0)</f>
        <v>0</v>
      </c>
      <c r="O98" s="37"/>
      <c r="P98" s="37"/>
      <c r="Q98" s="37"/>
    </row>
    <row r="99" spans="1:17" ht="12.75">
      <c r="A99" s="3" t="str">
        <f t="shared" si="9"/>
        <v>Finance / professional and business</v>
      </c>
      <c r="B99" s="122"/>
      <c r="C99" s="43">
        <f>IF(AND(B99="yes",OR(B96="yes",B97="yes",B98="yes")),", "&amp;A99,IF(B99="yes",A99,""))</f>
      </c>
      <c r="H99" s="37"/>
      <c r="I99" s="37">
        <f>IF($B99="Yes",-1,0)</f>
        <v>0</v>
      </c>
      <c r="J99" s="37"/>
      <c r="K99" s="37"/>
      <c r="L99" s="37"/>
      <c r="M99" s="37"/>
      <c r="N99" s="37"/>
      <c r="O99" s="37"/>
      <c r="P99" s="37"/>
      <c r="Q99" s="37"/>
    </row>
    <row r="100" spans="1:17" ht="12.75">
      <c r="A100" s="3" t="str">
        <f t="shared" si="9"/>
        <v>Education and healthcare</v>
      </c>
      <c r="B100" s="122"/>
      <c r="C100" s="43">
        <f>IF(AND(B100="yes",OR(B96="yes",B97="yes",B98="yes",B99="yes")),", "&amp;A100,IF(B100="yes",A100,""))</f>
      </c>
      <c r="H100" s="37"/>
      <c r="I100" s="37">
        <f>IF($B100="Yes",-1,0)</f>
        <v>0</v>
      </c>
      <c r="J100" s="37"/>
      <c r="K100" s="37"/>
      <c r="L100" s="37"/>
      <c r="M100" s="37"/>
      <c r="N100" s="37"/>
      <c r="O100" s="37"/>
      <c r="P100" s="37"/>
      <c r="Q100" s="37"/>
    </row>
    <row r="101" spans="1:17" ht="12.75">
      <c r="A101" s="3" t="str">
        <f t="shared" si="9"/>
        <v>Leisure and hospitality</v>
      </c>
      <c r="B101" s="122"/>
      <c r="C101" s="43">
        <f>IF(AND(B101="yes",OR(B96="yes",B97="yes",B98="yes",B99="yes",B100="yes")),", "&amp;A101,IF(B101="yes",A101,""))</f>
      </c>
      <c r="H101" s="37"/>
      <c r="I101" s="37"/>
      <c r="J101" s="37"/>
      <c r="K101" s="37"/>
      <c r="L101" s="37"/>
      <c r="M101" s="37">
        <f>IF($B101="Yes",-1,0)</f>
        <v>0</v>
      </c>
      <c r="N101" s="37"/>
      <c r="O101" s="37"/>
      <c r="P101" s="37"/>
      <c r="Q101" s="37"/>
    </row>
    <row r="102" spans="1:17" ht="12.75">
      <c r="A102" s="3" t="str">
        <f t="shared" si="9"/>
        <v>Other</v>
      </c>
      <c r="B102" s="122"/>
      <c r="C102" s="43">
        <f>IF(AND(B102&lt;&gt;0,OR(B96="yes",B97="yes",B98="yes",B99="yes",B100="yes",B101="yes")),", "&amp;B102,IF(B102="yes",B102,""))</f>
      </c>
      <c r="H102" s="37"/>
      <c r="I102" s="37"/>
      <c r="J102" s="37"/>
      <c r="K102" s="37"/>
      <c r="L102" s="37"/>
      <c r="M102" s="37"/>
      <c r="N102" s="37"/>
      <c r="O102" s="37"/>
      <c r="P102" s="37"/>
      <c r="Q102" s="37"/>
    </row>
    <row r="103" spans="1:17" ht="12.75">
      <c r="A103" s="3"/>
      <c r="B103" s="244"/>
      <c r="H103" s="37"/>
      <c r="I103" s="37"/>
      <c r="J103" s="37"/>
      <c r="K103" s="37"/>
      <c r="L103" s="37"/>
      <c r="M103" s="37"/>
      <c r="N103" s="37"/>
      <c r="O103" s="37"/>
      <c r="P103" s="37"/>
      <c r="Q103" s="37"/>
    </row>
    <row r="104" spans="1:17" ht="25.5">
      <c r="A104" s="16" t="s">
        <v>309</v>
      </c>
      <c r="B104" s="122"/>
      <c r="H104" s="37"/>
      <c r="I104" s="37"/>
      <c r="J104" s="37"/>
      <c r="K104" s="37"/>
      <c r="L104" s="37"/>
      <c r="M104" s="37"/>
      <c r="N104" s="37">
        <f>IF($B104="Yes",1,IF($B104="No",-1,0))</f>
        <v>0</v>
      </c>
      <c r="O104" s="37"/>
      <c r="P104" s="37"/>
      <c r="Q104" s="37"/>
    </row>
    <row r="105" spans="1:17" ht="12.75">
      <c r="A105" s="3"/>
      <c r="B105" s="244"/>
      <c r="H105" s="37"/>
      <c r="I105" s="37"/>
      <c r="J105" s="37"/>
      <c r="K105" s="37"/>
      <c r="L105" s="37"/>
      <c r="M105" s="37"/>
      <c r="N105" s="37"/>
      <c r="O105" s="37"/>
      <c r="P105" s="37"/>
      <c r="Q105" s="37"/>
    </row>
    <row r="106" spans="1:17" ht="12.75">
      <c r="A106" s="1" t="s">
        <v>64</v>
      </c>
      <c r="B106" s="122"/>
      <c r="H106" s="37"/>
      <c r="I106" s="37"/>
      <c r="J106" s="37"/>
      <c r="K106" s="37"/>
      <c r="L106" s="37"/>
      <c r="M106" s="37"/>
      <c r="N106" s="37"/>
      <c r="O106" s="37"/>
      <c r="P106" s="37"/>
      <c r="Q106" s="37"/>
    </row>
    <row r="107" spans="2:17" ht="12.75">
      <c r="B107" s="244"/>
      <c r="H107" s="37"/>
      <c r="I107" s="37"/>
      <c r="J107" s="37"/>
      <c r="K107" s="37"/>
      <c r="L107" s="37"/>
      <c r="M107" s="37"/>
      <c r="N107" s="37"/>
      <c r="O107" s="37"/>
      <c r="P107" s="37"/>
      <c r="Q107" s="37"/>
    </row>
    <row r="108" spans="1:17" ht="12.75">
      <c r="A108" s="1" t="s">
        <v>58</v>
      </c>
      <c r="B108" s="122"/>
      <c r="H108" s="37"/>
      <c r="I108" s="37"/>
      <c r="J108" s="37"/>
      <c r="K108" s="37"/>
      <c r="L108" s="37"/>
      <c r="M108" s="37"/>
      <c r="N108" s="37"/>
      <c r="O108" s="37"/>
      <c r="P108" s="37"/>
      <c r="Q108" s="37"/>
    </row>
    <row r="109" spans="1:17" ht="12.75">
      <c r="A109" s="1" t="s">
        <v>60</v>
      </c>
      <c r="B109" s="122"/>
      <c r="H109" s="37"/>
      <c r="I109" s="37"/>
      <c r="J109" s="37"/>
      <c r="K109" s="37"/>
      <c r="L109" s="37"/>
      <c r="M109" s="37"/>
      <c r="N109" s="37"/>
      <c r="O109" s="37"/>
      <c r="P109" s="37"/>
      <c r="Q109" s="37"/>
    </row>
    <row r="110" spans="1:17" ht="12.75">
      <c r="A110" s="1" t="s">
        <v>62</v>
      </c>
      <c r="B110" s="122"/>
      <c r="H110" s="37"/>
      <c r="I110" s="37"/>
      <c r="J110" s="37"/>
      <c r="K110" s="37"/>
      <c r="L110" s="37"/>
      <c r="M110" s="37"/>
      <c r="N110" s="37"/>
      <c r="O110" s="37"/>
      <c r="P110" s="37"/>
      <c r="Q110" s="37"/>
    </row>
    <row r="111" spans="8:17" ht="12.75">
      <c r="H111" s="37"/>
      <c r="I111" s="37"/>
      <c r="J111" s="37"/>
      <c r="K111" s="37"/>
      <c r="L111" s="37"/>
      <c r="M111" s="37"/>
      <c r="N111" s="37"/>
      <c r="O111" s="37"/>
      <c r="P111" s="37"/>
      <c r="Q111" s="37"/>
    </row>
    <row r="112" spans="1:17" ht="25.5">
      <c r="A112" s="42" t="s">
        <v>314</v>
      </c>
      <c r="H112" s="37"/>
      <c r="I112" s="37"/>
      <c r="J112" s="37"/>
      <c r="K112" s="37"/>
      <c r="L112" s="37"/>
      <c r="M112" s="37"/>
      <c r="N112" s="37"/>
      <c r="O112" s="37"/>
      <c r="P112" s="37"/>
      <c r="Q112" s="37"/>
    </row>
    <row r="113" spans="1:17" ht="12.75">
      <c r="A113" s="3" t="str">
        <f>E9</f>
        <v>Government</v>
      </c>
      <c r="B113" s="122"/>
      <c r="H113" s="37"/>
      <c r="I113" s="37"/>
      <c r="J113" s="37"/>
      <c r="K113" s="37"/>
      <c r="L113" s="37"/>
      <c r="M113" s="37"/>
      <c r="N113" s="37"/>
      <c r="O113" s="37"/>
      <c r="P113" s="37"/>
      <c r="Q113" s="37"/>
    </row>
    <row r="114" spans="1:17" ht="12.75">
      <c r="A114" s="3" t="str">
        <f aca="true" t="shared" si="10" ref="A114:A119">E10</f>
        <v>Manufacturing</v>
      </c>
      <c r="B114" s="122"/>
      <c r="H114" s="37"/>
      <c r="I114" s="37"/>
      <c r="J114" s="37"/>
      <c r="K114" s="37">
        <f>IF($B114="Yes",1,0)</f>
        <v>0</v>
      </c>
      <c r="L114" s="37"/>
      <c r="M114" s="37"/>
      <c r="N114" s="37"/>
      <c r="O114" s="37"/>
      <c r="P114" s="37"/>
      <c r="Q114" s="37"/>
    </row>
    <row r="115" spans="1:17" ht="12.75">
      <c r="A115" s="3" t="str">
        <f t="shared" si="10"/>
        <v>Wholesale / retail trade</v>
      </c>
      <c r="B115" s="122"/>
      <c r="H115" s="37"/>
      <c r="I115" s="37"/>
      <c r="J115" s="37">
        <f>IF($B115="Yes",1,0)</f>
        <v>0</v>
      </c>
      <c r="K115" s="37"/>
      <c r="L115" s="37"/>
      <c r="M115" s="37"/>
      <c r="N115" s="37">
        <f>IF($B115="Yes",1,0)</f>
        <v>0</v>
      </c>
      <c r="O115" s="37"/>
      <c r="P115" s="37"/>
      <c r="Q115" s="37"/>
    </row>
    <row r="116" spans="1:17" ht="12.75">
      <c r="A116" s="3" t="str">
        <f t="shared" si="10"/>
        <v>Finance / professional and business</v>
      </c>
      <c r="B116" s="122"/>
      <c r="H116" s="37"/>
      <c r="I116" s="37">
        <f>IF($B116="Yes",1,0)</f>
        <v>0</v>
      </c>
      <c r="J116" s="37"/>
      <c r="K116" s="37"/>
      <c r="L116" s="37"/>
      <c r="M116" s="37"/>
      <c r="N116" s="37"/>
      <c r="O116" s="37"/>
      <c r="P116" s="37"/>
      <c r="Q116" s="37"/>
    </row>
    <row r="117" spans="1:17" ht="12.75">
      <c r="A117" s="3" t="str">
        <f t="shared" si="10"/>
        <v>Education and healthcare</v>
      </c>
      <c r="B117" s="122"/>
      <c r="H117" s="37"/>
      <c r="I117" s="37">
        <f>IF($B117="Yes",1,0)</f>
        <v>0</v>
      </c>
      <c r="J117" s="37"/>
      <c r="K117" s="37"/>
      <c r="L117" s="37"/>
      <c r="M117" s="37"/>
      <c r="N117" s="37"/>
      <c r="O117" s="37"/>
      <c r="P117" s="37"/>
      <c r="Q117" s="37"/>
    </row>
    <row r="118" spans="1:17" ht="12.75">
      <c r="A118" s="3" t="str">
        <f t="shared" si="10"/>
        <v>Leisure and hospitality</v>
      </c>
      <c r="B118" s="122"/>
      <c r="H118" s="37"/>
      <c r="I118" s="37"/>
      <c r="J118" s="37"/>
      <c r="K118" s="37"/>
      <c r="L118" s="37"/>
      <c r="M118" s="37">
        <f>IF($B118="Yes",1,0)</f>
        <v>0</v>
      </c>
      <c r="N118" s="37"/>
      <c r="O118" s="37"/>
      <c r="P118" s="37"/>
      <c r="Q118" s="37"/>
    </row>
    <row r="119" spans="1:17" ht="12.75">
      <c r="A119" s="3" t="str">
        <f t="shared" si="10"/>
        <v>Other</v>
      </c>
      <c r="B119" s="122"/>
      <c r="H119" s="37"/>
      <c r="I119" s="37"/>
      <c r="J119" s="37"/>
      <c r="K119" s="37"/>
      <c r="L119" s="37"/>
      <c r="M119" s="37"/>
      <c r="N119" s="37"/>
      <c r="O119" s="37"/>
      <c r="P119" s="37"/>
      <c r="Q119" s="37"/>
    </row>
    <row r="120" spans="8:17" ht="12.75">
      <c r="H120" s="37"/>
      <c r="I120" s="37"/>
      <c r="J120" s="37"/>
      <c r="K120" s="37"/>
      <c r="L120" s="37"/>
      <c r="M120" s="37"/>
      <c r="N120" s="37"/>
      <c r="O120" s="37"/>
      <c r="P120" s="37"/>
      <c r="Q120" s="37"/>
    </row>
    <row r="121" spans="1:17" ht="25.5">
      <c r="A121" s="42" t="s">
        <v>313</v>
      </c>
      <c r="H121" s="37"/>
      <c r="I121" s="37"/>
      <c r="J121" s="37"/>
      <c r="K121" s="37"/>
      <c r="L121" s="37"/>
      <c r="M121" s="37"/>
      <c r="N121" s="37"/>
      <c r="O121" s="37"/>
      <c r="P121" s="37"/>
      <c r="Q121" s="37"/>
    </row>
    <row r="122" spans="1:17" ht="12.75">
      <c r="A122" s="3" t="str">
        <f>E9</f>
        <v>Government</v>
      </c>
      <c r="B122" s="122"/>
      <c r="H122" s="37"/>
      <c r="I122" s="37"/>
      <c r="J122" s="37"/>
      <c r="K122" s="37"/>
      <c r="L122" s="37"/>
      <c r="M122" s="37"/>
      <c r="N122" s="37"/>
      <c r="O122" s="37"/>
      <c r="P122" s="37"/>
      <c r="Q122" s="37"/>
    </row>
    <row r="123" spans="1:17" ht="12.75">
      <c r="A123" s="3" t="str">
        <f aca="true" t="shared" si="11" ref="A123:A128">E10</f>
        <v>Manufacturing</v>
      </c>
      <c r="B123" s="122"/>
      <c r="H123" s="37"/>
      <c r="I123" s="37"/>
      <c r="J123" s="37"/>
      <c r="K123" s="37">
        <f>IF($B123="Yes",-1,0)</f>
        <v>0</v>
      </c>
      <c r="L123" s="37"/>
      <c r="M123" s="37"/>
      <c r="N123" s="37"/>
      <c r="O123" s="37"/>
      <c r="P123" s="37"/>
      <c r="Q123" s="37"/>
    </row>
    <row r="124" spans="1:17" ht="12.75">
      <c r="A124" s="3" t="str">
        <f t="shared" si="11"/>
        <v>Wholesale / retail trade</v>
      </c>
      <c r="B124" s="122"/>
      <c r="H124" s="37"/>
      <c r="I124" s="37"/>
      <c r="J124" s="37">
        <f>IF($B124="Yes",-1,0)</f>
        <v>0</v>
      </c>
      <c r="K124" s="37"/>
      <c r="L124" s="37"/>
      <c r="M124" s="37"/>
      <c r="N124" s="37">
        <f>IF($B124="Yes",-1,0)</f>
        <v>0</v>
      </c>
      <c r="O124" s="37"/>
      <c r="P124" s="37"/>
      <c r="Q124" s="37"/>
    </row>
    <row r="125" spans="1:17" ht="12.75">
      <c r="A125" s="3" t="str">
        <f t="shared" si="11"/>
        <v>Finance / professional and business</v>
      </c>
      <c r="B125" s="122"/>
      <c r="H125" s="37"/>
      <c r="I125" s="37">
        <f>IF($B125="Yes",-1,0)</f>
        <v>0</v>
      </c>
      <c r="J125" s="37"/>
      <c r="K125" s="37"/>
      <c r="L125" s="37"/>
      <c r="M125" s="37"/>
      <c r="N125" s="37"/>
      <c r="O125" s="37"/>
      <c r="P125" s="37"/>
      <c r="Q125" s="37"/>
    </row>
    <row r="126" spans="1:17" ht="12.75">
      <c r="A126" s="3" t="str">
        <f t="shared" si="11"/>
        <v>Education and healthcare</v>
      </c>
      <c r="B126" s="122"/>
      <c r="H126" s="37"/>
      <c r="I126" s="37">
        <f>IF($B126="Yes",-1,0)</f>
        <v>0</v>
      </c>
      <c r="J126" s="37"/>
      <c r="K126" s="37"/>
      <c r="L126" s="37"/>
      <c r="M126" s="37"/>
      <c r="N126" s="37"/>
      <c r="O126" s="37"/>
      <c r="P126" s="37"/>
      <c r="Q126" s="37"/>
    </row>
    <row r="127" spans="1:17" ht="12.75">
      <c r="A127" s="3" t="str">
        <f t="shared" si="11"/>
        <v>Leisure and hospitality</v>
      </c>
      <c r="B127" s="122"/>
      <c r="H127" s="37"/>
      <c r="I127" s="37"/>
      <c r="J127" s="37"/>
      <c r="K127" s="37"/>
      <c r="L127" s="37"/>
      <c r="M127" s="37">
        <f>IF($B127="Yes",-1,0)</f>
        <v>0</v>
      </c>
      <c r="N127" s="37"/>
      <c r="O127" s="37"/>
      <c r="P127" s="37"/>
      <c r="Q127" s="37"/>
    </row>
    <row r="128" spans="1:17" ht="12.75">
      <c r="A128" s="3" t="str">
        <f t="shared" si="11"/>
        <v>Other</v>
      </c>
      <c r="B128" s="122"/>
      <c r="H128" s="37"/>
      <c r="I128" s="37"/>
      <c r="J128" s="37"/>
      <c r="K128" s="37"/>
      <c r="L128" s="37"/>
      <c r="M128" s="37"/>
      <c r="N128" s="37"/>
      <c r="O128" s="37"/>
      <c r="P128" s="37"/>
      <c r="Q128" s="37"/>
    </row>
    <row r="129" spans="2:17" ht="12.75">
      <c r="B129" s="245"/>
      <c r="H129" s="37"/>
      <c r="I129" s="37"/>
      <c r="J129" s="37"/>
      <c r="K129" s="37"/>
      <c r="L129" s="37"/>
      <c r="M129" s="37"/>
      <c r="N129" s="37"/>
      <c r="O129" s="37"/>
      <c r="P129" s="37"/>
      <c r="Q129" s="37"/>
    </row>
    <row r="130" spans="1:17" ht="25.5">
      <c r="A130" s="42" t="s">
        <v>310</v>
      </c>
      <c r="B130" s="122"/>
      <c r="H130" s="37"/>
      <c r="I130" s="37"/>
      <c r="J130" s="37"/>
      <c r="K130" s="37"/>
      <c r="L130" s="37"/>
      <c r="M130" s="37"/>
      <c r="N130" s="37">
        <f>IF($B130="Yes",1,IF($B130="No",-1,0))</f>
        <v>0</v>
      </c>
      <c r="O130" s="37"/>
      <c r="P130" s="37"/>
      <c r="Q130" s="37"/>
    </row>
    <row r="131" spans="8:17" ht="12.75">
      <c r="H131" s="37"/>
      <c r="I131" s="37"/>
      <c r="J131" s="37"/>
      <c r="K131" s="37"/>
      <c r="L131" s="37"/>
      <c r="M131" s="37"/>
      <c r="N131" s="37"/>
      <c r="O131" s="37"/>
      <c r="P131" s="37"/>
      <c r="Q131" s="37"/>
    </row>
    <row r="132" spans="1:17" ht="12.75">
      <c r="A132" s="2" t="s">
        <v>199</v>
      </c>
      <c r="B132" s="3"/>
      <c r="C132" s="43"/>
      <c r="H132" s="37"/>
      <c r="I132" s="37"/>
      <c r="J132" s="37"/>
      <c r="K132" s="37"/>
      <c r="L132" s="37"/>
      <c r="M132" s="37"/>
      <c r="N132" s="37"/>
      <c r="O132" s="37"/>
      <c r="P132" s="37"/>
      <c r="Q132" s="37"/>
    </row>
    <row r="133" spans="1:17" ht="12.75">
      <c r="A133" s="6" t="s">
        <v>20</v>
      </c>
      <c r="B133" s="122"/>
      <c r="C133" s="262">
        <f>IF(B133="yes",A133,"")</f>
      </c>
      <c r="H133" s="37">
        <f>IF($B133="Yes",1,0)</f>
        <v>0</v>
      </c>
      <c r="I133" s="37"/>
      <c r="J133" s="37"/>
      <c r="K133" s="37"/>
      <c r="L133" s="37"/>
      <c r="M133" s="37"/>
      <c r="N133" s="37"/>
      <c r="O133" s="37"/>
      <c r="P133" s="37"/>
      <c r="Q133" s="37"/>
    </row>
    <row r="134" spans="1:17" ht="12.75">
      <c r="A134" s="6" t="s">
        <v>161</v>
      </c>
      <c r="B134" s="122"/>
      <c r="C134" s="262">
        <f>IF(AND(B133="yes",B134="yes"),", "&amp;A134,IF(B134="yes",A134,""))</f>
      </c>
      <c r="H134" s="37"/>
      <c r="I134" s="37">
        <f>IF($B134="Yes",1,0)</f>
        <v>0</v>
      </c>
      <c r="J134" s="37"/>
      <c r="K134" s="37"/>
      <c r="L134" s="37"/>
      <c r="M134" s="37"/>
      <c r="N134" s="37"/>
      <c r="O134" s="37"/>
      <c r="P134" s="37"/>
      <c r="Q134" s="37"/>
    </row>
    <row r="135" spans="1:17" ht="12.75">
      <c r="A135" s="6" t="s">
        <v>22</v>
      </c>
      <c r="B135" s="122"/>
      <c r="C135" s="262">
        <f>IF(AND(B135="yes",OR(B133="yes",B134="yes")),", "&amp;A135,IF(B135="yes",A135,""))</f>
      </c>
      <c r="H135" s="37"/>
      <c r="I135" s="37"/>
      <c r="J135" s="37">
        <f>IF($B135="Yes",1,0)</f>
        <v>0</v>
      </c>
      <c r="K135" s="37"/>
      <c r="L135" s="37"/>
      <c r="M135" s="37"/>
      <c r="N135" s="37"/>
      <c r="O135" s="37"/>
      <c r="P135" s="37"/>
      <c r="Q135" s="37"/>
    </row>
    <row r="136" spans="1:17" ht="12.75">
      <c r="A136" s="6" t="s">
        <v>0</v>
      </c>
      <c r="B136" s="122"/>
      <c r="C136" s="262">
        <f>IF(AND(B136="yes",OR(B133="yes",B134="yes",B135="yes")),", "&amp;A136,IF(B136="yes",A136,""))</f>
      </c>
      <c r="H136" s="37"/>
      <c r="I136" s="37"/>
      <c r="J136" s="37"/>
      <c r="K136" s="37">
        <f>IF($B136="Yes",1,0)</f>
        <v>0</v>
      </c>
      <c r="L136" s="37"/>
      <c r="M136" s="37"/>
      <c r="N136" s="37"/>
      <c r="O136" s="37"/>
      <c r="P136" s="37"/>
      <c r="Q136" s="37"/>
    </row>
    <row r="137" spans="1:17" ht="12.75">
      <c r="A137" s="6" t="s">
        <v>28</v>
      </c>
      <c r="B137" s="122"/>
      <c r="C137" s="262">
        <f>IF(AND(B137="yes",OR(B133="yes",B134="yes",B135="yes",B136="yes")),", "&amp;A137,IF(B137="yes",A137,""))</f>
      </c>
      <c r="H137" s="37"/>
      <c r="I137" s="37"/>
      <c r="J137" s="37"/>
      <c r="K137" s="37"/>
      <c r="L137" s="37">
        <f>IF($B137="Yes",1,0)</f>
        <v>0</v>
      </c>
      <c r="M137" s="37"/>
      <c r="N137" s="37"/>
      <c r="O137" s="37"/>
      <c r="P137" s="37"/>
      <c r="Q137" s="37"/>
    </row>
    <row r="138" spans="1:17" ht="12.75">
      <c r="A138" s="6" t="s">
        <v>162</v>
      </c>
      <c r="B138" s="122"/>
      <c r="C138" s="262">
        <f>IF(AND(B138="yes",OR(B133="yes",B134="yes",B135="yes",B136="yes",B137="yes")),", "&amp;A138,IF(B138="yes",A138,""))</f>
      </c>
      <c r="H138" s="37"/>
      <c r="I138" s="37"/>
      <c r="J138" s="37"/>
      <c r="K138" s="37"/>
      <c r="L138" s="37"/>
      <c r="M138" s="37">
        <f>IF($B138="Yes",1,0)</f>
        <v>0</v>
      </c>
      <c r="N138" s="37"/>
      <c r="O138" s="37"/>
      <c r="P138" s="37"/>
      <c r="Q138" s="37"/>
    </row>
    <row r="139" spans="1:17" ht="12.75">
      <c r="A139" s="3" t="s">
        <v>23</v>
      </c>
      <c r="B139" s="122"/>
      <c r="C139" s="262">
        <f>IF(AND(B139="yes",OR(B133="yes",B134="yes",B135="yes",B136="yes",B137="yes",B138="yes")),", "&amp;A139,IF(B139="yes",A139,""))</f>
      </c>
      <c r="H139" s="37"/>
      <c r="I139" s="37"/>
      <c r="J139" s="37"/>
      <c r="K139" s="37"/>
      <c r="L139" s="37"/>
      <c r="M139" s="37"/>
      <c r="N139" s="37">
        <f>IF($B139="Yes",1,0)</f>
        <v>0</v>
      </c>
      <c r="O139" s="37"/>
      <c r="P139" s="37"/>
      <c r="Q139" s="37"/>
    </row>
    <row r="140" spans="1:17" ht="12.75">
      <c r="A140" s="3" t="s">
        <v>220</v>
      </c>
      <c r="B140" s="122"/>
      <c r="C140" s="262">
        <f>IF(AND(B140="yes",OR(B133="yes",B134="yes",B135="yes",B136="yes",B137="yes",B138="yes",B139="yes")),", "&amp;A140,IF(B140="yes",A140,""))</f>
      </c>
      <c r="H140" s="37"/>
      <c r="I140" s="37"/>
      <c r="J140" s="37"/>
      <c r="K140" s="37"/>
      <c r="L140" s="37"/>
      <c r="M140" s="37"/>
      <c r="N140" s="37"/>
      <c r="O140" s="37">
        <f>IF($B140="Yes",1,0)</f>
        <v>0</v>
      </c>
      <c r="P140" s="37"/>
      <c r="Q140" s="37"/>
    </row>
    <row r="141" spans="1:17" ht="12.75">
      <c r="A141" s="3" t="s">
        <v>156</v>
      </c>
      <c r="B141" s="122"/>
      <c r="C141" s="262">
        <f>IF(AND(B141="yes",OR(B133="yes",B134="yes",B135="yes",B136="yes",B137="yes",B138="yes",B139="yes",B140="yes")),", "&amp;A141,IF(B141="yes",A141,""))</f>
      </c>
      <c r="H141" s="37"/>
      <c r="I141" s="37"/>
      <c r="J141" s="37"/>
      <c r="K141" s="37"/>
      <c r="L141" s="37"/>
      <c r="M141" s="37"/>
      <c r="N141" s="37"/>
      <c r="O141" s="37"/>
      <c r="P141" s="37">
        <f>IF($B141="Yes",1,0)</f>
        <v>0</v>
      </c>
      <c r="Q141" s="37"/>
    </row>
    <row r="142" spans="1:17" ht="12.75">
      <c r="A142" s="3" t="s">
        <v>165</v>
      </c>
      <c r="B142" s="122"/>
      <c r="C142" s="262">
        <f>IF(AND(B142="yes",OR(B133="yes",B134="yes",B135="yes",B136="yes",B137="yes",B138="yes",B139="yes",B140="yes",B141="yes")),", "&amp;A142,IF(B142="yes",A142,""))</f>
      </c>
      <c r="H142" s="37"/>
      <c r="I142" s="37"/>
      <c r="J142" s="37"/>
      <c r="K142" s="37"/>
      <c r="L142" s="37"/>
      <c r="M142" s="37"/>
      <c r="N142" s="37"/>
      <c r="O142" s="37"/>
      <c r="P142" s="37"/>
      <c r="Q142" s="37">
        <f>IF($B142="Yes",1,0)</f>
        <v>0</v>
      </c>
    </row>
    <row r="143" spans="3:17" ht="12.75">
      <c r="C143" s="43"/>
      <c r="H143" s="37"/>
      <c r="I143" s="37"/>
      <c r="J143" s="37"/>
      <c r="K143" s="37"/>
      <c r="L143" s="37"/>
      <c r="M143" s="37"/>
      <c r="N143" s="37"/>
      <c r="O143" s="37"/>
      <c r="P143" s="37"/>
      <c r="Q143" s="37"/>
    </row>
    <row r="144" spans="1:17" ht="38.25">
      <c r="A144" s="42" t="s">
        <v>435</v>
      </c>
      <c r="B144" s="3"/>
      <c r="H144" s="37"/>
      <c r="I144" s="37"/>
      <c r="J144" s="37"/>
      <c r="K144" s="37"/>
      <c r="L144" s="37"/>
      <c r="M144" s="37"/>
      <c r="N144" s="37"/>
      <c r="O144" s="37"/>
      <c r="P144" s="37"/>
      <c r="Q144" s="37"/>
    </row>
    <row r="145" spans="1:17" ht="12.75">
      <c r="A145" s="6" t="s">
        <v>20</v>
      </c>
      <c r="B145" s="119"/>
      <c r="C145" s="249">
        <f>IF(AND(B145="Yes",D145=0),"Provide rationale:",IF(AND(B145="yes",D145&lt;&gt;""),"Rationale:",""))</f>
      </c>
      <c r="D145" s="295"/>
      <c r="H145" s="37">
        <f>IF($B145="Yes",999,0)</f>
        <v>0</v>
      </c>
      <c r="I145" s="37"/>
      <c r="J145" s="37"/>
      <c r="K145" s="37"/>
      <c r="L145" s="37"/>
      <c r="M145" s="37"/>
      <c r="N145" s="37"/>
      <c r="O145" s="37"/>
      <c r="P145" s="37"/>
      <c r="Q145" s="37"/>
    </row>
    <row r="146" spans="1:17" ht="12.75">
      <c r="A146" s="6" t="s">
        <v>161</v>
      </c>
      <c r="B146" s="119"/>
      <c r="C146" s="249">
        <f aca="true" t="shared" si="12" ref="C146:C154">IF(AND(B146="Yes",D146=0),"Provide rationale:",IF(AND(B146="yes",D146&lt;&gt;""),"Rationale:",""))</f>
      </c>
      <c r="D146" s="295"/>
      <c r="H146" s="37"/>
      <c r="I146" s="37">
        <f>IF($B146="Yes",999,0)</f>
        <v>0</v>
      </c>
      <c r="J146" s="37"/>
      <c r="K146" s="37"/>
      <c r="L146" s="37"/>
      <c r="M146" s="37"/>
      <c r="N146" s="37"/>
      <c r="O146" s="37"/>
      <c r="P146" s="37"/>
      <c r="Q146" s="37"/>
    </row>
    <row r="147" spans="1:256" ht="12.75">
      <c r="A147" s="6" t="s">
        <v>22</v>
      </c>
      <c r="B147" s="119"/>
      <c r="C147" s="249">
        <f t="shared" si="12"/>
      </c>
      <c r="D147" s="295"/>
      <c r="H147" s="37"/>
      <c r="I147" s="37"/>
      <c r="J147" s="37">
        <f>IF($B147="Yes",999,0)</f>
        <v>0</v>
      </c>
      <c r="K147" s="37"/>
      <c r="L147" s="37"/>
      <c r="M147" s="37"/>
      <c r="N147" s="37"/>
      <c r="O147" s="37"/>
      <c r="P147" s="37"/>
      <c r="Q147" s="37"/>
      <c r="IV147" s="37"/>
    </row>
    <row r="148" spans="1:11" ht="12.75">
      <c r="A148" s="6" t="s">
        <v>0</v>
      </c>
      <c r="B148" s="119"/>
      <c r="C148" s="249">
        <f t="shared" si="12"/>
      </c>
      <c r="D148" s="295"/>
      <c r="K148" s="37">
        <f>IF($B148="Yes",999,0)</f>
        <v>0</v>
      </c>
    </row>
    <row r="149" spans="1:12" ht="12.75">
      <c r="A149" s="6" t="s">
        <v>28</v>
      </c>
      <c r="B149" s="119"/>
      <c r="C149" s="249">
        <f t="shared" si="12"/>
      </c>
      <c r="D149" s="295"/>
      <c r="L149" s="37">
        <f>IF($B149="Yes",999,0)</f>
        <v>0</v>
      </c>
    </row>
    <row r="150" spans="1:13" ht="12.75">
      <c r="A150" s="6" t="s">
        <v>162</v>
      </c>
      <c r="B150" s="119"/>
      <c r="C150" s="249">
        <f t="shared" si="12"/>
      </c>
      <c r="D150" s="295"/>
      <c r="M150" s="37">
        <f>IF($B150="Yes",999,0)</f>
        <v>0</v>
      </c>
    </row>
    <row r="151" spans="1:14" ht="12.75">
      <c r="A151" s="3" t="s">
        <v>23</v>
      </c>
      <c r="B151" s="119"/>
      <c r="C151" s="249">
        <f t="shared" si="12"/>
      </c>
      <c r="D151" s="295"/>
      <c r="N151" s="37">
        <f>IF($B151="Yes",999,0)</f>
        <v>0</v>
      </c>
    </row>
    <row r="152" spans="1:15" ht="12.75">
      <c r="A152" s="3" t="s">
        <v>220</v>
      </c>
      <c r="B152" s="119"/>
      <c r="C152" s="249">
        <f t="shared" si="12"/>
      </c>
      <c r="D152" s="295"/>
      <c r="O152" s="37">
        <f>IF($B152="Yes",999,0)</f>
        <v>0</v>
      </c>
    </row>
    <row r="153" spans="1:16" ht="12.75">
      <c r="A153" s="3" t="s">
        <v>156</v>
      </c>
      <c r="B153" s="119"/>
      <c r="C153" s="249">
        <f t="shared" si="12"/>
      </c>
      <c r="D153" s="295"/>
      <c r="P153" s="37">
        <f>IF($B153="Yes",999,0)</f>
        <v>0</v>
      </c>
    </row>
    <row r="154" spans="1:17" ht="12.75">
      <c r="A154" s="3" t="s">
        <v>165</v>
      </c>
      <c r="B154" s="119"/>
      <c r="C154" s="249">
        <f t="shared" si="12"/>
      </c>
      <c r="D154" s="295"/>
      <c r="Q154" s="37">
        <f>IF($B154="Yes",999,0)</f>
        <v>0</v>
      </c>
    </row>
  </sheetData>
  <sheetProtection password="C687" sheet="1" objects="1" scenarios="1"/>
  <conditionalFormatting sqref="IV147 Q154 K148 L149 M150 N151 O152 P153 H4:Q147">
    <cfRule type="cellIs" priority="3" dxfId="24" operator="equal" stopIfTrue="1">
      <formula>999</formula>
    </cfRule>
  </conditionalFormatting>
  <conditionalFormatting sqref="B21 B18:C19 B15:C16 B10:B12 B4:B7 B24:B25 B27:B28 B30:B31 B33:B34 B37:B39 B41:B43 B45 B47:B48 B51:B53 B55:B57 B59:B61 C60:C61 B63:B65 C64:C65 B67:B68 B74:B77 B80 B82:B84 B87:B93 B71:C72 B104 B106 B108:B110 B96:B102 B113:B119 B130 B133:B142 B122:B128">
    <cfRule type="cellIs" priority="5" dxfId="94" operator="equal" stopIfTrue="1">
      <formula>0</formula>
    </cfRule>
  </conditionalFormatting>
  <conditionalFormatting sqref="C145:C154">
    <cfRule type="expression" priority="8" dxfId="22" stopIfTrue="1">
      <formula>D145&lt;&gt;""</formula>
    </cfRule>
  </conditionalFormatting>
  <conditionalFormatting sqref="D145:D154">
    <cfRule type="expression" priority="9" dxfId="21" stopIfTrue="1">
      <formula>AND($B145="Yes",$D145="")</formula>
    </cfRule>
  </conditionalFormatting>
  <conditionalFormatting sqref="B145:B154">
    <cfRule type="cellIs" priority="10" dxfId="94" operator="equal" stopIfTrue="1">
      <formula>0</formula>
    </cfRule>
    <cfRule type="expression" priority="11" dxfId="0" stopIfTrue="1">
      <formula>AND($B145="Yes",$D145=0)</formula>
    </cfRule>
    <cfRule type="cellIs" priority="12" dxfId="18" operator="equal" stopIfTrue="1">
      <formula>"yes"</formula>
    </cfRule>
  </conditionalFormatting>
  <dataValidations count="6">
    <dataValidation type="list" allowBlank="1" showInputMessage="1" showErrorMessage="1" sqref="B133:B142 B145:B154 B130 B104 B96:B101 B113:B118 B67:B68 B77 B12 B21 B30:B31 B33:B34 B47:B48 B122:B127 B87:B92">
      <formula1>$E$3:$E$4</formula1>
    </dataValidation>
    <dataValidation type="list" allowBlank="1" showInputMessage="1" showErrorMessage="1" sqref="B108:B110 B82:B84">
      <formula1>$E$9:$E$15</formula1>
    </dataValidation>
    <dataValidation type="list" allowBlank="1" showInputMessage="1" showErrorMessage="1" sqref="C64:C65 C60:C61">
      <formula1>$E$6:$E$7</formula1>
    </dataValidation>
    <dataValidation type="whole" allowBlank="1" showInputMessage="1" showErrorMessage="1" error="Please enter a number" sqref="B4:B7">
      <formula1>0</formula1>
      <formula2>10000000</formula2>
    </dataValidation>
    <dataValidation type="list" allowBlank="1" showInputMessage="1" showErrorMessage="1" sqref="C15:C16 C18:C19">
      <formula1>$E$5:$E$6</formula1>
    </dataValidation>
    <dataValidation type="list" allowBlank="1" showInputMessage="1" showErrorMessage="1" sqref="C71:C72">
      <formula1>$E$17:$E$18</formula1>
    </dataValidation>
  </dataValidations>
  <printOptions/>
  <pageMargins left="0.75" right="0.75" top="1.25" bottom="1" header="0.5" footer="0.5"/>
  <pageSetup fitToHeight="3" horizontalDpi="600" verticalDpi="600" orientation="portrait" scale="67" r:id="rId2"/>
  <headerFooter alignWithMargins="0">
    <oddHeader>&amp;L&amp;"Arial Narrow,Bold"&amp;11FOCUS WV Brownfields Mini-Grant Program 
Land Use Decision Enhancer Tool:
&amp;A, Page &amp;P of &amp;N&amp;R&amp;"Arial Narrow,Bold"Today's Date: &amp;D
&amp;"Arial Narrow,Regular"Prepared by: SRA International, Inc. and Vita Nuova, LLC</oddHeader>
    <oddFooter>&amp;L&amp;G&amp;C&amp;"Arial Narrow,Regular"This tool should not be used independently or as a primary reuse decision making tool. Reuse and
investment planning should be based on unique drivers, detailed valuation tools, and local knowledge of the site.&amp;R  &amp;G</oddFooter>
  </headerFooter>
  <rowBreaks count="2" manualBreakCount="2">
    <brk id="49" max="2" man="1"/>
    <brk id="94" max="2" man="1"/>
  </rowBreaks>
  <colBreaks count="1" manualBreakCount="1">
    <brk id="4" max="152" man="1"/>
  </colBreaks>
  <legacyDrawingHF r:id="rId1"/>
</worksheet>
</file>

<file path=xl/worksheets/sheet6.xml><?xml version="1.0" encoding="utf-8"?>
<worksheet xmlns="http://schemas.openxmlformats.org/spreadsheetml/2006/main" xmlns:r="http://schemas.openxmlformats.org/officeDocument/2006/relationships">
  <sheetPr>
    <tabColor indexed="56"/>
  </sheetPr>
  <dimension ref="A1:S173"/>
  <sheetViews>
    <sheetView zoomScalePageLayoutView="0" workbookViewId="0" topLeftCell="A1">
      <pane xSplit="5" ySplit="1" topLeftCell="F2" activePane="bottomRight" state="frozen"/>
      <selection pane="topLeft" activeCell="D2" sqref="D2"/>
      <selection pane="topRight" activeCell="D2" sqref="D2"/>
      <selection pane="bottomLeft" activeCell="D2" sqref="D2"/>
      <selection pane="bottomRight" activeCell="E75" sqref="E75"/>
    </sheetView>
  </sheetViews>
  <sheetFormatPr defaultColWidth="9.140625" defaultRowHeight="12.75" outlineLevelCol="1"/>
  <cols>
    <col min="1" max="1" width="51.57421875" style="11" customWidth="1"/>
    <col min="2" max="2" width="10.8515625" style="12" customWidth="1"/>
    <col min="3" max="3" width="9.7109375" style="1" customWidth="1"/>
    <col min="4" max="4" width="9.140625" style="15" customWidth="1"/>
    <col min="5" max="5" width="26.28125" style="15" customWidth="1"/>
    <col min="6" max="6" width="9.140625" style="292" customWidth="1"/>
    <col min="7" max="7" width="12.7109375" style="1" hidden="1" customWidth="1" outlineLevel="1"/>
    <col min="8" max="8" width="9.140625" style="1" customWidth="1" collapsed="1"/>
    <col min="9" max="16384" width="9.140625" style="1" customWidth="1"/>
  </cols>
  <sheetData>
    <row r="1" spans="1:19" s="28" customFormat="1" ht="13.5">
      <c r="A1" s="273" t="s">
        <v>295</v>
      </c>
      <c r="B1" s="274"/>
      <c r="C1" s="93"/>
      <c r="D1" s="15"/>
      <c r="E1" s="15"/>
      <c r="F1" s="287"/>
      <c r="G1" s="287"/>
      <c r="H1" s="287"/>
      <c r="I1" s="287"/>
      <c r="J1" s="287"/>
      <c r="K1" s="287"/>
      <c r="L1" s="287"/>
      <c r="M1" s="287"/>
      <c r="N1" s="287"/>
      <c r="O1" s="287"/>
      <c r="P1" s="287"/>
      <c r="Q1" s="287"/>
      <c r="R1" s="287"/>
      <c r="S1" s="287"/>
    </row>
    <row r="2" spans="1:19" s="28" customFormat="1" ht="16.5">
      <c r="A2" s="276">
        <f>IF('1. Property'!B4="","",'1. Property'!B4)</f>
      </c>
      <c r="B2" s="277"/>
      <c r="C2" s="277"/>
      <c r="D2" s="285"/>
      <c r="E2" s="277"/>
      <c r="F2" s="287"/>
      <c r="G2" s="287"/>
      <c r="H2" s="287"/>
      <c r="I2" s="287"/>
      <c r="J2" s="287"/>
      <c r="K2" s="287"/>
      <c r="L2" s="287"/>
      <c r="M2" s="287"/>
      <c r="N2" s="287"/>
      <c r="O2" s="287"/>
      <c r="P2" s="287"/>
      <c r="Q2" s="287"/>
      <c r="R2" s="287"/>
      <c r="S2" s="287"/>
    </row>
    <row r="3" spans="1:9" ht="12.75">
      <c r="A3" s="228" t="s">
        <v>67</v>
      </c>
      <c r="B3" s="141"/>
      <c r="C3" s="227"/>
      <c r="G3" s="302" t="s">
        <v>2</v>
      </c>
      <c r="I3" s="7"/>
    </row>
    <row r="4" spans="1:7" ht="12.75">
      <c r="A4" s="18" t="s">
        <v>439</v>
      </c>
      <c r="B4" s="134"/>
      <c r="C4" s="1" t="s">
        <v>101</v>
      </c>
      <c r="G4" s="26" t="s">
        <v>3</v>
      </c>
    </row>
    <row r="5" spans="1:7" ht="12.75">
      <c r="A5" s="18" t="s">
        <v>68</v>
      </c>
      <c r="B5" s="134"/>
      <c r="C5" s="1" t="s">
        <v>101</v>
      </c>
      <c r="G5" s="26" t="s">
        <v>266</v>
      </c>
    </row>
    <row r="6" spans="1:7" ht="12.75">
      <c r="A6" s="18" t="s">
        <v>69</v>
      </c>
      <c r="B6" s="134"/>
      <c r="C6" s="1" t="s">
        <v>101</v>
      </c>
      <c r="G6" s="26"/>
    </row>
    <row r="7" spans="1:7" ht="12.75">
      <c r="A7" s="18" t="s">
        <v>70</v>
      </c>
      <c r="B7" s="133"/>
      <c r="G7" s="26" t="s">
        <v>261</v>
      </c>
    </row>
    <row r="8" spans="2:7" ht="12.75">
      <c r="B8" s="1"/>
      <c r="G8" s="27" t="s">
        <v>262</v>
      </c>
    </row>
    <row r="9" spans="1:6" ht="15.75">
      <c r="A9" s="46" t="s">
        <v>201</v>
      </c>
      <c r="B9" s="132"/>
      <c r="C9" s="13"/>
      <c r="D9" s="142" t="s">
        <v>200</v>
      </c>
      <c r="E9" s="47">
        <f>IF(SUM('2. Environmental'!$H$4+'3. Land Use Characteristics'!$H$4+'4. Community'!$H$4+'5. Demographics'!$H$4)&gt;=399,"Fatal Flaw: Unviable Use",(SUM('2. Environmental'!$H$4+'3. Land Use Characteristics'!$H$4+'4. Community'!$H$4+'5. Demographics'!$H$4)+C29))</f>
        <v>0</v>
      </c>
      <c r="F9" s="43">
        <f>IF(E9="Fatal Flaw: Unviable Use",LEFT(A9,LEN(A9)-7),"")</f>
      </c>
    </row>
    <row r="10" spans="1:5" ht="12.75">
      <c r="A10">
        <f>IF(E9="Fatal Flaw: Unviable Use","Because the "&amp;A9&amp;" is an unviable use for this site, the following questions are optional.","")</f>
      </c>
      <c r="B10" s="246"/>
      <c r="C10"/>
      <c r="D10"/>
      <c r="E10"/>
    </row>
    <row r="11" spans="1:2" ht="12.75">
      <c r="A11" s="18" t="s">
        <v>102</v>
      </c>
      <c r="B11" s="122"/>
    </row>
    <row r="12" spans="1:2" ht="12.75">
      <c r="A12" s="18" t="s">
        <v>103</v>
      </c>
      <c r="B12" s="122"/>
    </row>
    <row r="13" spans="1:2" ht="12.75">
      <c r="A13" s="18"/>
      <c r="B13" s="244"/>
    </row>
    <row r="14" spans="1:2" ht="12.75">
      <c r="A14" s="18" t="s">
        <v>104</v>
      </c>
      <c r="B14" s="243"/>
    </row>
    <row r="15" spans="1:2" ht="12.75">
      <c r="A15" s="18" t="s">
        <v>260</v>
      </c>
      <c r="B15" s="243"/>
    </row>
    <row r="16" spans="1:2" ht="12.75">
      <c r="A16" s="18"/>
      <c r="B16" s="244"/>
    </row>
    <row r="17" spans="1:2" ht="12.75">
      <c r="A17" s="18" t="s">
        <v>263</v>
      </c>
      <c r="B17" s="111"/>
    </row>
    <row r="18" spans="1:2" ht="12.75">
      <c r="A18" s="18" t="s">
        <v>264</v>
      </c>
      <c r="B18" s="243"/>
    </row>
    <row r="19" spans="1:2" ht="12.75">
      <c r="A19" s="18" t="s">
        <v>265</v>
      </c>
      <c r="B19" s="111"/>
    </row>
    <row r="20" spans="1:2" ht="12.75">
      <c r="A20" s="18"/>
      <c r="B20" s="244"/>
    </row>
    <row r="21" spans="1:3" ht="12.75">
      <c r="A21" s="18" t="s">
        <v>110</v>
      </c>
      <c r="B21" s="243"/>
      <c r="C21" s="1" t="s">
        <v>112</v>
      </c>
    </row>
    <row r="22" spans="1:2" ht="12.75">
      <c r="A22" s="18" t="s">
        <v>105</v>
      </c>
      <c r="B22" s="122"/>
    </row>
    <row r="23" spans="1:2" ht="12.75">
      <c r="A23" s="18"/>
      <c r="B23" s="247"/>
    </row>
    <row r="24" spans="1:2" ht="12.75">
      <c r="A24" s="18" t="s">
        <v>106</v>
      </c>
      <c r="B24" s="243"/>
    </row>
    <row r="25" spans="1:2" ht="12.75">
      <c r="A25" s="18" t="s">
        <v>107</v>
      </c>
      <c r="B25" s="111"/>
    </row>
    <row r="26" spans="1:2" ht="12.75">
      <c r="A26" s="18" t="s">
        <v>108</v>
      </c>
      <c r="B26" s="133"/>
    </row>
    <row r="27" spans="1:2" ht="12.75">
      <c r="A27" s="18" t="s">
        <v>109</v>
      </c>
      <c r="B27" s="133"/>
    </row>
    <row r="28" spans="1:2" ht="12.75">
      <c r="A28" s="18"/>
      <c r="B28" s="23"/>
    </row>
    <row r="29" spans="1:3" ht="25.5">
      <c r="A29" s="44" t="s">
        <v>208</v>
      </c>
      <c r="B29" s="135"/>
      <c r="C29" s="43">
        <f>IF(B29="Yes",2,IF(B29="No",-1,0))</f>
        <v>0</v>
      </c>
    </row>
    <row r="30" ht="12.75">
      <c r="B30" s="1"/>
    </row>
    <row r="31" spans="1:6" s="49" customFormat="1" ht="15.75">
      <c r="A31" s="46" t="s">
        <v>202</v>
      </c>
      <c r="B31" s="138"/>
      <c r="C31" s="48"/>
      <c r="D31" s="142" t="s">
        <v>200</v>
      </c>
      <c r="E31" s="47">
        <f>IF(SUM('2. Environmental'!$I$4+'3. Land Use Characteristics'!$I$4+'4. Community'!$I$4+'5. Demographics'!$I$4)&gt;=399,"Fatal Flaw: Unviable Use",SUM('2. Environmental'!$I$4+'3. Land Use Characteristics'!$I$4+'4. Community'!$I$4+'5. Demographics'!$I$4)+C41)</f>
        <v>0</v>
      </c>
      <c r="F31" s="43">
        <f>IF(AND(E9="Fatal Flaw: Unviable Use",E31="Fatal Flaw: Unviable Use"),", "&amp;LEFT(A31,LEN(A31)-7),IF(E31="Fatal Flaw: Unviable Use",LEFT(A31,LEN(A31)-7),""))</f>
      </c>
    </row>
    <row r="32" spans="1:6" s="49" customFormat="1" ht="15.75">
      <c r="A32">
        <f>IF(E31="Fatal Flaw: Unviable Use","Because the "&amp;A31&amp;" is an unviable use for this site, the following questions are optional.","")</f>
      </c>
      <c r="B32"/>
      <c r="C32"/>
      <c r="D32"/>
      <c r="E32"/>
      <c r="F32" s="293"/>
    </row>
    <row r="33" spans="1:2" ht="12.75">
      <c r="A33" s="18" t="s">
        <v>79</v>
      </c>
      <c r="B33" s="122"/>
    </row>
    <row r="34" spans="1:2" ht="12.75">
      <c r="A34" s="18" t="s">
        <v>80</v>
      </c>
      <c r="B34" s="111"/>
    </row>
    <row r="35" spans="1:3" ht="12.75">
      <c r="A35" s="18" t="s">
        <v>81</v>
      </c>
      <c r="B35" s="122"/>
      <c r="C35" s="1" t="s">
        <v>111</v>
      </c>
    </row>
    <row r="36" spans="1:3" ht="12.75">
      <c r="A36" s="18" t="s">
        <v>82</v>
      </c>
      <c r="B36" s="122"/>
      <c r="C36" s="1" t="s">
        <v>111</v>
      </c>
    </row>
    <row r="37" spans="1:3" ht="12.75">
      <c r="A37" s="18" t="s">
        <v>83</v>
      </c>
      <c r="B37" s="122"/>
      <c r="C37" s="1" t="s">
        <v>112</v>
      </c>
    </row>
    <row r="38" spans="1:2" ht="12.75">
      <c r="A38" s="18" t="s">
        <v>84</v>
      </c>
      <c r="B38" s="111"/>
    </row>
    <row r="39" spans="1:3" ht="14.25" customHeight="1">
      <c r="A39" s="18" t="s">
        <v>352</v>
      </c>
      <c r="B39" s="243"/>
      <c r="C39" s="1" t="s">
        <v>114</v>
      </c>
    </row>
    <row r="40" spans="1:2" ht="12.75">
      <c r="A40" s="18"/>
      <c r="B40" s="136"/>
    </row>
    <row r="41" spans="1:3" ht="25.5">
      <c r="A41" s="44" t="s">
        <v>207</v>
      </c>
      <c r="B41" s="135"/>
      <c r="C41" s="43">
        <f>IF(B41="Yes",2,IF(B41="No",-1,0))</f>
        <v>0</v>
      </c>
    </row>
    <row r="42" ht="12.75">
      <c r="B42" s="51"/>
    </row>
    <row r="43" spans="1:6" s="49" customFormat="1" ht="15.75">
      <c r="A43" s="46" t="s">
        <v>71</v>
      </c>
      <c r="B43" s="138"/>
      <c r="C43" s="48"/>
      <c r="D43" s="142" t="s">
        <v>200</v>
      </c>
      <c r="E43" s="47">
        <f>IF(SUM('2. Environmental'!$J$4+'3. Land Use Characteristics'!$J$4+'4. Community'!$J$4+'5. Demographics'!$J$4)&gt;=399,"Fatal Flaw: Unviable Use",SUM('2. Environmental'!$J$4+'3. Land Use Characteristics'!$J$4+'4. Community'!$J$4+'5. Demographics'!$J$4)+C61)</f>
        <v>0</v>
      </c>
      <c r="F43" s="43">
        <f>IF(AND(E43="Fatal Flaw: Unviable Use",OR(E9="Fatal Flaw: Unviable Use",E31="Fatal Flaw: Unviable Use")),", "&amp;LEFT(A43,LEN(A43)-7),IF(E43="Fatal Flaw: Unviable Use",LEFT(A43,LEN(A43)-7),""))</f>
      </c>
    </row>
    <row r="44" spans="1:6" s="49" customFormat="1" ht="15.75">
      <c r="A44">
        <f>IF(E43="Fatal Flaw: Unviable Use","Because the "&amp;A43&amp;" is an unviable use for this site, the following questions are optional.","")</f>
      </c>
      <c r="B44"/>
      <c r="C44"/>
      <c r="D44"/>
      <c r="E44"/>
      <c r="F44" s="293"/>
    </row>
    <row r="45" spans="1:2" ht="12.75">
      <c r="A45" s="18" t="s">
        <v>72</v>
      </c>
      <c r="B45" s="122"/>
    </row>
    <row r="46" spans="1:2" ht="12.75">
      <c r="A46" s="18" t="s">
        <v>73</v>
      </c>
      <c r="B46" s="111"/>
    </row>
    <row r="47" spans="1:2" ht="25.5">
      <c r="A47" s="18" t="s">
        <v>74</v>
      </c>
      <c r="B47" s="111"/>
    </row>
    <row r="48" spans="1:2" ht="12.75">
      <c r="A48" s="18"/>
      <c r="B48" s="244"/>
    </row>
    <row r="49" spans="1:3" ht="12.75">
      <c r="A49" s="18" t="s">
        <v>75</v>
      </c>
      <c r="B49" s="122"/>
      <c r="C49" s="1" t="s">
        <v>111</v>
      </c>
    </row>
    <row r="50" spans="1:3" ht="12.75">
      <c r="A50" s="18" t="s">
        <v>76</v>
      </c>
      <c r="B50" s="122"/>
      <c r="C50" s="1" t="s">
        <v>111</v>
      </c>
    </row>
    <row r="51" spans="1:3" ht="12.75">
      <c r="A51" s="18" t="s">
        <v>77</v>
      </c>
      <c r="B51" s="122"/>
      <c r="C51" s="1" t="s">
        <v>111</v>
      </c>
    </row>
    <row r="52" spans="1:2" ht="12.75">
      <c r="A52" s="18"/>
      <c r="B52" s="244"/>
    </row>
    <row r="53" spans="1:3" ht="12.75">
      <c r="A53" s="18" t="s">
        <v>78</v>
      </c>
      <c r="B53" s="243"/>
      <c r="C53" s="1" t="s">
        <v>112</v>
      </c>
    </row>
    <row r="54" spans="1:3" ht="12.75">
      <c r="A54" s="18" t="s">
        <v>113</v>
      </c>
      <c r="B54" s="243"/>
      <c r="C54" s="1" t="s">
        <v>112</v>
      </c>
    </row>
    <row r="55" spans="1:2" ht="12.75">
      <c r="A55" s="18"/>
      <c r="B55" s="244"/>
    </row>
    <row r="56" spans="1:2" ht="25.5">
      <c r="A56" s="18" t="s">
        <v>267</v>
      </c>
      <c r="B56" s="122"/>
    </row>
    <row r="57" spans="1:3" ht="12.75">
      <c r="A57" s="18" t="s">
        <v>268</v>
      </c>
      <c r="B57" s="111"/>
      <c r="C57" s="17"/>
    </row>
    <row r="58" spans="1:3" ht="12.75">
      <c r="A58" s="18"/>
      <c r="B58" s="244"/>
      <c r="C58" s="17"/>
    </row>
    <row r="59" spans="1:3" ht="25.5">
      <c r="A59" s="18" t="s">
        <v>269</v>
      </c>
      <c r="B59" s="111"/>
      <c r="C59" s="50">
        <f>IF(B59="Yes",1,0)</f>
        <v>0</v>
      </c>
    </row>
    <row r="60" spans="1:3" ht="12.75">
      <c r="A60" s="18"/>
      <c r="B60" s="137"/>
      <c r="C60" s="17"/>
    </row>
    <row r="61" spans="1:3" ht="25.5">
      <c r="A61" s="44" t="s">
        <v>206</v>
      </c>
      <c r="B61" s="135"/>
      <c r="C61" s="43">
        <f>IF(B61="Yes",2,IF(B61="No",-1,0))+C59</f>
        <v>0</v>
      </c>
    </row>
    <row r="62" spans="1:2" ht="12.75">
      <c r="A62" s="18"/>
      <c r="B62" s="1"/>
    </row>
    <row r="63" spans="1:6" s="49" customFormat="1" ht="15.75">
      <c r="A63" s="46" t="s">
        <v>85</v>
      </c>
      <c r="B63" s="138"/>
      <c r="C63" s="48"/>
      <c r="D63" s="142" t="s">
        <v>200</v>
      </c>
      <c r="E63" s="47">
        <f>IF(SUM('2. Environmental'!$K$4+'3. Land Use Characteristics'!$K$4+'4. Community'!$K$4+'5. Demographics'!$K$4)&gt;=399,"Fatal Flaw: Unviable Use",SUM('2. Environmental'!$K$4+'3. Land Use Characteristics'!$K$4+'4. Community'!$K$4+'5. Demographics'!$K$4)+C73)</f>
        <v>0</v>
      </c>
      <c r="F63" s="43">
        <f>IF(AND(E63="Fatal Flaw: Unviable Use",OR(E9="Fatal Flaw: Unviable Use",E31="Fatal Flaw: Unviable Use",E43="Fatal Flaw: Unviable Use")),", Industrial (excluding warehouse)",IF(E63="Fatal Flaw: Unviable Use","Industrial (excluding warehouse)",""))</f>
      </c>
    </row>
    <row r="64" spans="1:6" s="49" customFormat="1" ht="15.75">
      <c r="A64">
        <f>IF(E63="Fatal Flaw: Unviable Use","Because the "&amp;A63&amp;" is an unviable use for this site, the following questions are optional.","")</f>
      </c>
      <c r="B64"/>
      <c r="C64"/>
      <c r="D64"/>
      <c r="E64"/>
      <c r="F64" s="293"/>
    </row>
    <row r="65" spans="1:2" ht="12.75">
      <c r="A65" s="18" t="s">
        <v>86</v>
      </c>
      <c r="B65" s="122"/>
    </row>
    <row r="66" spans="1:2" ht="12.75">
      <c r="A66" s="18" t="s">
        <v>87</v>
      </c>
      <c r="B66" s="111"/>
    </row>
    <row r="67" spans="1:3" ht="12.75">
      <c r="A67" s="18" t="s">
        <v>88</v>
      </c>
      <c r="B67" s="122"/>
      <c r="C67" s="1" t="s">
        <v>111</v>
      </c>
    </row>
    <row r="68" spans="1:3" ht="12.75">
      <c r="A68" s="18" t="s">
        <v>89</v>
      </c>
      <c r="B68" s="122"/>
      <c r="C68" s="1" t="s">
        <v>111</v>
      </c>
    </row>
    <row r="69" spans="1:3" ht="12.75">
      <c r="A69" s="18" t="s">
        <v>90</v>
      </c>
      <c r="B69" s="122"/>
      <c r="C69" s="1" t="s">
        <v>112</v>
      </c>
    </row>
    <row r="70" spans="1:2" ht="12.75">
      <c r="A70" s="18" t="s">
        <v>91</v>
      </c>
      <c r="B70" s="111"/>
    </row>
    <row r="71" spans="1:3" ht="12.75">
      <c r="A71" s="18" t="s">
        <v>92</v>
      </c>
      <c r="B71" s="243"/>
      <c r="C71" s="1" t="s">
        <v>114</v>
      </c>
    </row>
    <row r="72" ht="12.75">
      <c r="B72" s="136"/>
    </row>
    <row r="73" spans="1:3" ht="25.5">
      <c r="A73" s="44" t="s">
        <v>205</v>
      </c>
      <c r="B73" s="135"/>
      <c r="C73" s="43">
        <f>IF(B73="Yes",2,IF(B73="No",-1,0))</f>
        <v>0</v>
      </c>
    </row>
    <row r="74" ht="12.75">
      <c r="B74" s="10"/>
    </row>
    <row r="75" spans="1:6" s="49" customFormat="1" ht="15.75">
      <c r="A75" s="46" t="s">
        <v>93</v>
      </c>
      <c r="B75" s="138"/>
      <c r="C75" s="48"/>
      <c r="D75" s="142" t="s">
        <v>200</v>
      </c>
      <c r="E75" s="47">
        <f>IF(SUM('2. Environmental'!$L$4+'3. Land Use Characteristics'!$L$4+'4. Community'!$L$4+'5. Demographics'!$L$4)&gt;=399,"Fatal Flaw: Unviable Use",IF(AND('1. Property'!$B$46&lt;1,'1. Property'!$B$46&gt;0),"Fatal Flaw: Unviable Use",SUM('2. Environmental'!$L$4+'3. Land Use Characteristics'!$L$4+'4. Community'!$L$4+'5. Demographics'!$L$4)+C85))</f>
        <v>0</v>
      </c>
      <c r="F75" s="43">
        <f>IF(AND(E75="Fatal Flaw: Unviable Use",OR(E9="Fatal Flaw: Unviable Use",E31="Fatal Flaw: Unviable Use",E43="Fatal Flaw: Unviable Use",E63="Fatal Flaw: Unviable Use")),", "&amp;LEFT(A75,LEN(A75)-7),IF(E75="Fatal Flaw: Unviable Use",LEFT(A75,LEN(A75)-7),""))</f>
      </c>
    </row>
    <row r="76" spans="1:6" s="49" customFormat="1" ht="15.75">
      <c r="A76">
        <f>IF(E75="Fatal Flaw: Unviable Use","Because the "&amp;A75&amp;" is an unviable use for this site, the following questions are optional.","")</f>
      </c>
      <c r="B76"/>
      <c r="C76"/>
      <c r="D76"/>
      <c r="E76"/>
      <c r="F76" s="293"/>
    </row>
    <row r="77" spans="1:2" ht="12.75">
      <c r="A77" s="18" t="s">
        <v>94</v>
      </c>
      <c r="B77" s="122"/>
    </row>
    <row r="78" spans="1:2" ht="12.75">
      <c r="A78" s="18" t="s">
        <v>95</v>
      </c>
      <c r="B78" s="111"/>
    </row>
    <row r="79" spans="1:3" ht="12.75">
      <c r="A79" s="18" t="s">
        <v>96</v>
      </c>
      <c r="B79" s="122"/>
      <c r="C79" s="1" t="s">
        <v>111</v>
      </c>
    </row>
    <row r="80" spans="1:3" ht="12.75">
      <c r="A80" s="18" t="s">
        <v>97</v>
      </c>
      <c r="B80" s="122"/>
      <c r="C80" s="1" t="s">
        <v>111</v>
      </c>
    </row>
    <row r="81" spans="1:3" ht="12.75">
      <c r="A81" s="18" t="s">
        <v>98</v>
      </c>
      <c r="B81" s="122"/>
      <c r="C81" s="1" t="s">
        <v>112</v>
      </c>
    </row>
    <row r="82" spans="1:2" ht="12.75">
      <c r="A82" s="18" t="s">
        <v>99</v>
      </c>
      <c r="B82" s="111"/>
    </row>
    <row r="83" spans="1:3" ht="12.75">
      <c r="A83" s="18" t="s">
        <v>100</v>
      </c>
      <c r="B83" s="243"/>
      <c r="C83" s="1" t="s">
        <v>114</v>
      </c>
    </row>
    <row r="84" spans="1:2" ht="12.75">
      <c r="A84" s="18"/>
      <c r="B84" s="244"/>
    </row>
    <row r="85" spans="1:3" ht="25.5">
      <c r="A85" s="44" t="s">
        <v>204</v>
      </c>
      <c r="B85" s="135"/>
      <c r="C85" s="43">
        <f>IF(B85="Yes",2,IF(B85="No",-1,0))</f>
        <v>0</v>
      </c>
    </row>
    <row r="86" spans="1:2" ht="12.75">
      <c r="A86" s="18"/>
      <c r="B86" s="1"/>
    </row>
    <row r="87" spans="1:6" s="49" customFormat="1" ht="15.75">
      <c r="A87" s="46" t="s">
        <v>270</v>
      </c>
      <c r="B87" s="138"/>
      <c r="C87" s="48"/>
      <c r="D87" s="142" t="s">
        <v>200</v>
      </c>
      <c r="E87" s="47">
        <f>IF(SUM('2. Environmental'!$M$4+'3. Land Use Characteristics'!$M$4+'4. Community'!$M$4+'5. Demographics'!$M$4)&gt;=399,"Fatal Flaw: Unviable Use",SUM('2. Environmental'!$M$4+'3. Land Use Characteristics'!$M$4+'4. Community'!$M$4+'5. Demographics'!$M$4)+C93)</f>
        <v>0</v>
      </c>
      <c r="F87" s="43">
        <f>IF(AND(E87="Fatal Flaw: Unviable Use",OR(E9="Fatal Flaw: Unviable Use",E31="Fatal Flaw: Unviable Use",E43="Fatal Flaw: Unviable Use",E63="Fatal Flaw: Unviable Use",E75="Fatal Flaw: Unviable Use")),", "&amp;LEFT(A87,LEN(A87)-7),IF(E87="Fatal Flaw: Unviable Use",LEFT(A87,LEN(A87)-7),""))</f>
      </c>
    </row>
    <row r="88" spans="1:6" s="49" customFormat="1" ht="15.75">
      <c r="A88">
        <f>IF(E87="Fatal Flaw: Unviable Use","Because the "&amp;A87&amp;" is an unviable use for this site, the following questions are optional.","")</f>
      </c>
      <c r="B88"/>
      <c r="C88"/>
      <c r="D88"/>
      <c r="E88"/>
      <c r="F88" s="293"/>
    </row>
    <row r="89" spans="1:2" ht="12.75">
      <c r="A89" s="18" t="s">
        <v>271</v>
      </c>
      <c r="B89" s="122"/>
    </row>
    <row r="90" spans="1:2" ht="12.75">
      <c r="A90" s="18" t="s">
        <v>272</v>
      </c>
      <c r="B90" s="111"/>
    </row>
    <row r="91" spans="1:3" ht="12.75">
      <c r="A91" s="18" t="s">
        <v>273</v>
      </c>
      <c r="B91" s="243"/>
      <c r="C91" s="1" t="s">
        <v>166</v>
      </c>
    </row>
    <row r="92" ht="12.75">
      <c r="B92" s="23"/>
    </row>
    <row r="93" spans="1:3" ht="25.5">
      <c r="A93" s="44" t="s">
        <v>274</v>
      </c>
      <c r="B93" s="135"/>
      <c r="C93" s="43">
        <f>IF(B93="Yes",2,IF(B93="No",-1,0))</f>
        <v>0</v>
      </c>
    </row>
    <row r="94" spans="1:2" ht="12.75">
      <c r="A94" s="18"/>
      <c r="B94" s="1"/>
    </row>
    <row r="95" spans="1:6" s="49" customFormat="1" ht="15.75">
      <c r="A95" s="46" t="s">
        <v>203</v>
      </c>
      <c r="B95" s="138"/>
      <c r="C95" s="48"/>
      <c r="D95" s="142" t="s">
        <v>200</v>
      </c>
      <c r="E95" s="47">
        <f>IF(SUM('2. Environmental'!$N$4+'3. Land Use Characteristics'!$N$4+'4. Community'!$N$4+'5. Demographics'!$N$4)&gt;=399,"Fatal Flaw: Unviable Use",SUM('2. Environmental'!$N$4+'3. Land Use Characteristics'!$N$4+'4. Community'!$N$4+'5. Demographics'!$N$4)+C102)</f>
        <v>0</v>
      </c>
      <c r="F95" s="43">
        <f>IF(AND(E95="Fatal Flaw: Unviable Use",OR(E9="Fatal Flaw: Unviable Use",E31="Fatal Flaw: Unviable Use",E43="Fatal Flaw: Unviable Use",E63="Fatal Flaw: Unviable Use",E75="Fatal Flaw: Unviable Use",E87="Fatal Flaw: Unviable Use")),", "&amp;LEFT(A95,LEN(A95)-7),IF(E95="Fatal Flaw: Unviable Use",LEFT(A95,LEN(A95)-7),""))</f>
      </c>
    </row>
    <row r="96" spans="1:6" s="49" customFormat="1" ht="15.75">
      <c r="A96">
        <f>IF(E95="Fatal Flaw: Unviable Use","Because the "&amp;A95&amp;" is an unviable use for this site, the following questions are optional.","")</f>
      </c>
      <c r="B96"/>
      <c r="C96"/>
      <c r="D96"/>
      <c r="E96"/>
      <c r="F96" s="293"/>
    </row>
    <row r="97" spans="1:2" ht="12.75">
      <c r="A97" s="18" t="s">
        <v>275</v>
      </c>
      <c r="B97" s="122"/>
    </row>
    <row r="98" spans="1:2" ht="25.5">
      <c r="A98" s="18" t="s">
        <v>276</v>
      </c>
      <c r="B98" s="122"/>
    </row>
    <row r="99" spans="1:2" ht="25.5">
      <c r="A99" s="18" t="s">
        <v>277</v>
      </c>
      <c r="B99" s="122"/>
    </row>
    <row r="100" spans="1:2" ht="25.5">
      <c r="A100" s="18" t="s">
        <v>278</v>
      </c>
      <c r="B100" s="122"/>
    </row>
    <row r="101" spans="1:2" ht="12.75">
      <c r="A101" s="18"/>
      <c r="B101" s="23"/>
    </row>
    <row r="102" spans="1:3" ht="25.5">
      <c r="A102" s="44" t="s">
        <v>209</v>
      </c>
      <c r="B102" s="135"/>
      <c r="C102" s="43">
        <f>IF(B102="Yes",2,IF(B102="No",-1,0))</f>
        <v>0</v>
      </c>
    </row>
    <row r="103" spans="1:2" ht="12.75">
      <c r="A103" s="18"/>
      <c r="B103" s="1"/>
    </row>
    <row r="104" spans="1:6" s="49" customFormat="1" ht="15.75">
      <c r="A104" s="46" t="s">
        <v>220</v>
      </c>
      <c r="B104" s="138"/>
      <c r="C104" s="48"/>
      <c r="D104" s="143" t="s">
        <v>200</v>
      </c>
      <c r="E104" s="47">
        <f>IF(SUM('2. Environmental'!$O$4+'3. Land Use Characteristics'!$O$4+'4. Community'!$O$4+'5. Demographics'!$O$4)&gt;=399,"Fatal Flaw: Unviable Use",SUM('2. Environmental'!$O$4+'3. Land Use Characteristics'!$O$4+'4. Community'!$O$4+'5. Demographics'!$O$4)+C112)</f>
        <v>0</v>
      </c>
      <c r="F104" s="43">
        <f>IF(AND(E104="Fatal Flaw: Unviable Use",OR(E9="Fatal Flaw: Unviable Use",E31="Fatal Flaw: Unviable Use",E43="Fatal Flaw: Unviable Use",E63="Fatal Flaw: Unviable Use",E75="Fatal Flaw: Unviable Use",E87="Fatal Flaw: Unviable Use",E95="Fatal Flaw: Unviable Use")),", "&amp;A104,IF(E104="Fatal Flaw: Unviable Use",A104,""))</f>
      </c>
    </row>
    <row r="105" spans="1:6" s="49" customFormat="1" ht="15.75">
      <c r="A105">
        <f>IF(E104="Fatal Flaw: Unviable Use","Because "&amp;A104&amp;" is an unviable use for this site, the following questions are optional.","")</f>
      </c>
      <c r="B105"/>
      <c r="C105"/>
      <c r="D105"/>
      <c r="E105"/>
      <c r="F105" s="293"/>
    </row>
    <row r="106" spans="1:2" ht="12.75">
      <c r="A106" s="18" t="s">
        <v>279</v>
      </c>
      <c r="B106" s="122"/>
    </row>
    <row r="107" spans="1:2" ht="12.75">
      <c r="A107" s="18" t="s">
        <v>280</v>
      </c>
      <c r="B107" s="122"/>
    </row>
    <row r="108" spans="1:2" ht="25.5">
      <c r="A108" s="18" t="s">
        <v>281</v>
      </c>
      <c r="B108" s="122"/>
    </row>
    <row r="109" spans="1:2" ht="12.75">
      <c r="A109" s="18" t="s">
        <v>282</v>
      </c>
      <c r="B109" s="122"/>
    </row>
    <row r="110" spans="1:2" ht="12.75">
      <c r="A110" s="18" t="s">
        <v>283</v>
      </c>
      <c r="B110" s="122"/>
    </row>
    <row r="111" spans="1:2" ht="12.75">
      <c r="A111" s="18"/>
      <c r="B111" s="23"/>
    </row>
    <row r="112" spans="1:3" ht="25.5">
      <c r="A112" s="44" t="s">
        <v>284</v>
      </c>
      <c r="B112" s="135"/>
      <c r="C112" s="43">
        <f>IF(B112="Yes",2,IF(B112="No",-1,0))</f>
        <v>0</v>
      </c>
    </row>
    <row r="113" spans="1:2" ht="12.75">
      <c r="A113" s="18"/>
      <c r="B113" s="1"/>
    </row>
    <row r="114" spans="1:6" s="49" customFormat="1" ht="15.75">
      <c r="A114" s="46" t="s">
        <v>156</v>
      </c>
      <c r="B114" s="138"/>
      <c r="C114" s="48"/>
      <c r="D114" s="142" t="s">
        <v>200</v>
      </c>
      <c r="E114" s="47">
        <f>IF(SUM('2. Environmental'!$P$4+'3. Land Use Characteristics'!$P$4+'4. Community'!$P$4+'5. Demographics'!$P$4)&gt;=399,"Fatal Flaw: Unviable Use",SUM('2. Environmental'!$P$4+'3. Land Use Characteristics'!$P$4+'4. Community'!$P$4+'5. Demographics'!$P$4)+C121)</f>
        <v>0</v>
      </c>
      <c r="F114" s="43">
        <f>IF(AND(E114="Fatal Flaw: Unviable Use",OR(E9="Fatal Flaw: Unviable Use",E31="Fatal Flaw: Unviable Use",E43="Fatal Flaw: Unviable Use",E63="Fatal Flaw: Unviable Use",E75="Fatal Flaw: Unviable Use",E87="Fatal Flaw: Unviable Use",E95="Fatal Flaw: Unviable Use",E104="Fatal Flaw: Unviable Use")),", "&amp;A114,IF(E114="Fatal Flaw: Unviable Use",A114,""))</f>
      </c>
    </row>
    <row r="115" spans="1:6" s="49" customFormat="1" ht="15.75">
      <c r="A115">
        <f>IF(E114="Fatal Flaw: Unviable Use","Because "&amp;A114&amp;" is an unviable use for this site, the following questions are optional.","")</f>
      </c>
      <c r="B115"/>
      <c r="C115"/>
      <c r="D115"/>
      <c r="E115"/>
      <c r="F115" s="293"/>
    </row>
    <row r="116" spans="1:2" ht="12.75">
      <c r="A116" s="18" t="s">
        <v>285</v>
      </c>
      <c r="B116" s="122"/>
    </row>
    <row r="117" spans="1:2" ht="12.75">
      <c r="A117" s="18" t="s">
        <v>286</v>
      </c>
      <c r="B117" s="122"/>
    </row>
    <row r="118" spans="1:2" ht="12.75">
      <c r="A118" s="18" t="s">
        <v>287</v>
      </c>
      <c r="B118" s="122"/>
    </row>
    <row r="119" spans="1:2" ht="25.5">
      <c r="A119" s="18" t="s">
        <v>288</v>
      </c>
      <c r="B119" s="122"/>
    </row>
    <row r="120" spans="1:2" ht="12.75">
      <c r="A120" s="18"/>
      <c r="B120" s="23"/>
    </row>
    <row r="121" spans="1:3" ht="25.5">
      <c r="A121" s="44" t="s">
        <v>210</v>
      </c>
      <c r="B121" s="135"/>
      <c r="C121" s="43">
        <f>IF(B121="Yes",2,IF(B121="No",-1,0))</f>
        <v>0</v>
      </c>
    </row>
    <row r="122" spans="1:2" ht="12.75">
      <c r="A122" s="18"/>
      <c r="B122" s="1"/>
    </row>
    <row r="123" spans="1:6" s="49" customFormat="1" ht="15.75">
      <c r="A123" s="46" t="s">
        <v>165</v>
      </c>
      <c r="B123" s="138"/>
      <c r="C123" s="48"/>
      <c r="D123" s="142" t="s">
        <v>200</v>
      </c>
      <c r="E123" s="47">
        <f>IF(SUM('2. Environmental'!$Q$4+'3. Land Use Characteristics'!$Q$4+'4. Community'!$Q$4+'5. Demographics'!$Q$4)&gt;=399,"Fatal Flaw: Unviable Use",SUM('2. Environmental'!$Q$4+'3. Land Use Characteristics'!$Q$4+'4. Community'!$Q$4+'5. Demographics'!$Q$4)+C129)</f>
        <v>0</v>
      </c>
      <c r="F123" s="43">
        <f>IF(AND(E123="Fatal Flaw: Unviable Use",OR(E9="Fatal Flaw: Unviable Use",E31="Fatal Flaw: Unviable Use",E43="Fatal Flaw: Unviable Use",E63="Fatal Flaw: Unviable Use",E75="Fatal Flaw: Unviable Use",E87="Fatal Flaw: Unviable Use",E95="Fatal Flaw: Unviable Use",E104="Fatal Flaw: Unviable Use",E114="Fatal Flaw: Unviable Use")),", "&amp;A123,IF(E123="Fatal Flaw: Unviable Use",A123,""))</f>
      </c>
    </row>
    <row r="124" spans="1:6" s="49" customFormat="1" ht="15.75">
      <c r="A124">
        <f>IF(E123="Fatal Flaw: Unviable Use","Because "&amp;A123&amp;" is an unviable use for this site, the following questions are optional.","")</f>
      </c>
      <c r="B124"/>
      <c r="C124"/>
      <c r="D124"/>
      <c r="E124"/>
      <c r="F124" s="293"/>
    </row>
    <row r="125" spans="1:2" ht="12.75">
      <c r="A125" s="18" t="s">
        <v>289</v>
      </c>
      <c r="B125" s="122"/>
    </row>
    <row r="126" spans="1:2" ht="12.75">
      <c r="A126" s="18" t="s">
        <v>290</v>
      </c>
      <c r="B126" s="122"/>
    </row>
    <row r="127" spans="1:2" ht="12.75">
      <c r="A127" s="18" t="s">
        <v>291</v>
      </c>
      <c r="B127" s="122"/>
    </row>
    <row r="128" spans="1:2" ht="12.75">
      <c r="A128" s="18"/>
      <c r="B128" s="244"/>
    </row>
    <row r="129" spans="1:3" ht="25.5">
      <c r="A129" s="44" t="s">
        <v>211</v>
      </c>
      <c r="B129" s="135"/>
      <c r="C129" s="43">
        <f>IF(B129="Yes",2,IF(B129="No",-1,0))</f>
        <v>0</v>
      </c>
    </row>
    <row r="130" spans="1:2" ht="12.75">
      <c r="A130" s="18"/>
      <c r="B130" s="1"/>
    </row>
    <row r="137" ht="12.75">
      <c r="B137" s="1"/>
    </row>
    <row r="138" ht="12.75">
      <c r="B138" s="1"/>
    </row>
    <row r="139" ht="12.75">
      <c r="B139" s="1"/>
    </row>
    <row r="140" ht="12.75">
      <c r="B140" s="1"/>
    </row>
    <row r="141" ht="12.75">
      <c r="B141" s="1"/>
    </row>
    <row r="142" ht="12.75">
      <c r="B142" s="1"/>
    </row>
    <row r="143" ht="12.75">
      <c r="B143" s="1"/>
    </row>
    <row r="144" ht="12.75">
      <c r="B144" s="1"/>
    </row>
    <row r="145" ht="12.75">
      <c r="B145" s="1"/>
    </row>
    <row r="146" ht="12.75">
      <c r="B146" s="1"/>
    </row>
    <row r="147" ht="12.75">
      <c r="B147" s="1"/>
    </row>
    <row r="148" ht="12.75">
      <c r="B148" s="1"/>
    </row>
    <row r="149" ht="12.75">
      <c r="B149" s="1"/>
    </row>
    <row r="150" ht="12.75">
      <c r="B150" s="1"/>
    </row>
    <row r="151" ht="12.75">
      <c r="B151" s="1"/>
    </row>
    <row r="152" ht="12.75">
      <c r="B152" s="1"/>
    </row>
    <row r="153" ht="12.75">
      <c r="B153" s="1"/>
    </row>
    <row r="154" ht="12.75">
      <c r="B154" s="1"/>
    </row>
    <row r="155" ht="12.75">
      <c r="B155" s="1"/>
    </row>
    <row r="156" ht="12.75">
      <c r="B156" s="1"/>
    </row>
    <row r="157" ht="12.75">
      <c r="B157" s="1"/>
    </row>
    <row r="158" ht="12.75">
      <c r="B158" s="1"/>
    </row>
    <row r="159" ht="12.75">
      <c r="B159" s="1"/>
    </row>
    <row r="160" ht="12.75">
      <c r="B160" s="1"/>
    </row>
    <row r="161" ht="12.75">
      <c r="B161" s="1"/>
    </row>
    <row r="162" ht="12.75">
      <c r="B162" s="1"/>
    </row>
    <row r="163" ht="12.75">
      <c r="B163" s="1"/>
    </row>
    <row r="164" ht="12.75">
      <c r="B164" s="1"/>
    </row>
    <row r="165" ht="12.75">
      <c r="B165" s="1"/>
    </row>
    <row r="166" ht="12.75">
      <c r="B166" s="1"/>
    </row>
    <row r="167" ht="12.75">
      <c r="B167" s="1"/>
    </row>
    <row r="168" ht="12.75">
      <c r="B168" s="1"/>
    </row>
    <row r="169" ht="12.75">
      <c r="B169" s="1"/>
    </row>
    <row r="170" ht="12.75">
      <c r="B170" s="1"/>
    </row>
    <row r="171" ht="12.75">
      <c r="B171" s="1"/>
    </row>
    <row r="172" ht="12.75">
      <c r="B172" s="1"/>
    </row>
    <row r="173" ht="12.75">
      <c r="B173" s="1"/>
    </row>
  </sheetData>
  <sheetProtection password="C687" sheet="1" objects="1" scenarios="1"/>
  <conditionalFormatting sqref="B4:B7 B11:B12 B14:B15 B17:B19 B21:B22 B24:B27 B29 B33:B39 B41 B45:B47 B49:B51 B53:B54 B56:B57 B59 B61 B65:B71 B73 B77:B83 B85 B89:B91 B93 B97:B100 B102 B106:B110 B112 B116:B119 B121 B125:B127 B129">
    <cfRule type="cellIs" priority="1" dxfId="94" operator="equal" stopIfTrue="1">
      <formula>0</formula>
    </cfRule>
  </conditionalFormatting>
  <conditionalFormatting sqref="A10 A32 A44 A64 A76 A88 A96 A105 A115 A124">
    <cfRule type="cellIs" priority="3" dxfId="16" operator="notEqual" stopIfTrue="1">
      <formula>""""""</formula>
    </cfRule>
  </conditionalFormatting>
  <dataValidations count="3">
    <dataValidation type="list" allowBlank="1" showInputMessage="1" showErrorMessage="1" sqref="B129 B102 B29 B41 B61 B73 B85 B93 B121 B112">
      <formula1>$G$3:$G$5</formula1>
    </dataValidation>
    <dataValidation type="list" allowBlank="1" showInputMessage="1" showErrorMessage="1" sqref="B116:B119 B59 B97:B100 B106:B110 B125:B127">
      <formula1>$G$3:$G$4</formula1>
    </dataValidation>
    <dataValidation type="list" allowBlank="1" showInputMessage="1" showErrorMessage="1" sqref="B15 B18">
      <formula1>$G$7:$G$8</formula1>
    </dataValidation>
  </dataValidations>
  <printOptions/>
  <pageMargins left="0.75" right="0.75" top="1.25" bottom="1" header="0.5" footer="0.5"/>
  <pageSetup fitToHeight="3" horizontalDpi="600" verticalDpi="600" orientation="portrait" scale="77" r:id="rId2"/>
  <headerFooter alignWithMargins="0">
    <oddHeader>&amp;L&amp;"Arial Narrow,Bold"&amp;11FOCUS WV Brownfields Mini-Grant Program 
Land Use Decision Enhancer Tool:
&amp;A, Page &amp;P of &amp;N&amp;R&amp;"Arial Narrow,Bold"Today's Date: &amp;D
&amp;"Arial Narrow,Regular"Prepared by: SRA International, Inc. and Vita Nuova, LLC</oddHeader>
    <oddFooter>&amp;L&amp;G&amp;C&amp;"Arial Narrow,Regular"This tool should not be used independently or as a primary reuse decision making tool. Reuse and
investment planning should be based on unique drivers, detailed valuation tools, and local knowledge of the site.&amp;R  &amp;G</oddFooter>
  </headerFooter>
  <rowBreaks count="2" manualBreakCount="2">
    <brk id="42" max="255" man="1"/>
    <brk id="94" max="255" man="1"/>
  </rowBreaks>
  <colBreaks count="1" manualBreakCount="1">
    <brk id="5" max="117" man="1"/>
  </colBreaks>
  <legacyDrawingHF r:id="rId1"/>
</worksheet>
</file>

<file path=xl/worksheets/sheet7.xml><?xml version="1.0" encoding="utf-8"?>
<worksheet xmlns="http://schemas.openxmlformats.org/spreadsheetml/2006/main" xmlns:r="http://schemas.openxmlformats.org/officeDocument/2006/relationships">
  <sheetPr>
    <tabColor indexed="53"/>
  </sheetPr>
  <dimension ref="A1:G73"/>
  <sheetViews>
    <sheetView zoomScalePageLayoutView="0" workbookViewId="0" topLeftCell="A1">
      <selection activeCell="B16" sqref="B16"/>
    </sheetView>
  </sheetViews>
  <sheetFormatPr defaultColWidth="9.140625" defaultRowHeight="12.75"/>
  <cols>
    <col min="1" max="1" width="54.7109375" style="1" customWidth="1"/>
    <col min="2" max="2" width="46.57421875" style="1" customWidth="1"/>
    <col min="3" max="16384" width="9.140625" style="1" customWidth="1"/>
  </cols>
  <sheetData>
    <row r="1" spans="1:2" ht="16.5">
      <c r="A1" s="264" t="s">
        <v>405</v>
      </c>
      <c r="B1" s="297">
        <f>IF('1. Property'!B4="","",'1. Property'!B4)</f>
      </c>
    </row>
    <row r="2" spans="1:2" s="23" customFormat="1" ht="12.75">
      <c r="A2" s="257"/>
      <c r="B2" s="258"/>
    </row>
    <row r="3" spans="1:2" s="23" customFormat="1" ht="12.75">
      <c r="A3" s="270" t="s">
        <v>427</v>
      </c>
      <c r="B3" s="271" t="str">
        <f>IF('1. Property'!B5="","No data",'1. Property'!B5)</f>
        <v>No data</v>
      </c>
    </row>
    <row r="4" spans="1:2" s="23" customFormat="1" ht="12.75">
      <c r="A4" s="270" t="s">
        <v>423</v>
      </c>
      <c r="B4" s="271" t="str">
        <f>IF('1. Property'!B6="","No data",'1. Property'!B6)</f>
        <v>No data</v>
      </c>
    </row>
    <row r="5" spans="1:2" s="23" customFormat="1" ht="12.75">
      <c r="A5" s="270" t="s">
        <v>424</v>
      </c>
      <c r="B5" s="271" t="str">
        <f>IF('1. Property'!B8="","No data",'1. Property'!B8)</f>
        <v>No data</v>
      </c>
    </row>
    <row r="6" spans="1:2" s="23" customFormat="1" ht="12.75">
      <c r="A6" s="270" t="s">
        <v>425</v>
      </c>
      <c r="B6" s="271" t="str">
        <f>IF('1. Property'!B9="","No data",'1. Property'!B9)</f>
        <v>No data</v>
      </c>
    </row>
    <row r="7" s="23" customFormat="1" ht="12.75">
      <c r="B7" s="258"/>
    </row>
    <row r="8" spans="1:2" ht="12.75">
      <c r="A8" s="251" t="s">
        <v>317</v>
      </c>
      <c r="B8" s="254" t="str">
        <f>IF('1. Property'!B11=0,"No data",TEXT('1. Property'!B11,"#,###")&amp;" acres")</f>
        <v>No data</v>
      </c>
    </row>
    <row r="9" spans="1:2" ht="12.75">
      <c r="A9" s="251" t="s">
        <v>394</v>
      </c>
      <c r="B9" s="254" t="str">
        <f>IF('1. Property'!B46=0,"No data",TEXT('1. Property'!B46,"#,###")&amp;" acres")</f>
        <v>No data</v>
      </c>
    </row>
    <row r="10" spans="1:2" ht="12.75">
      <c r="A10" s="251" t="s">
        <v>404</v>
      </c>
      <c r="B10" s="255" t="str">
        <f>IF('3. Land Use Characteristics'!B62=0,"No data",'3. Land Use Characteristics'!B62)</f>
        <v>No data</v>
      </c>
    </row>
    <row r="11" spans="1:2" ht="12.75">
      <c r="A11" s="251" t="s">
        <v>456</v>
      </c>
      <c r="B11" s="256" t="str">
        <f>IF('3. Land Use Characteristics'!B64=0,"No data",'3. Land Use Characteristics'!B64)</f>
        <v>No data</v>
      </c>
    </row>
    <row r="12" spans="1:2" ht="12.75">
      <c r="A12" s="251" t="s">
        <v>395</v>
      </c>
      <c r="B12" s="254" t="str">
        <f>IF('3. Land Use Characteristics'!B65=0,"No data",'3. Land Use Characteristics'!B65)</f>
        <v>No data</v>
      </c>
    </row>
    <row r="13" spans="1:2" ht="12.75">
      <c r="A13" s="251"/>
      <c r="B13" s="252"/>
    </row>
    <row r="14" spans="1:2" ht="12.75">
      <c r="A14" s="251" t="s">
        <v>406</v>
      </c>
      <c r="B14" s="254" t="str">
        <f>IF('1. Property'!B61="No","None",IF('1. Property'!B62=0,"No data",'1. Property'!B62))</f>
        <v>No data</v>
      </c>
    </row>
    <row r="15" spans="1:2" ht="12.75">
      <c r="A15" s="251" t="s">
        <v>407</v>
      </c>
      <c r="B15" s="254" t="str">
        <f>IF(B14="None","N/A",IF('1. Property'!C76=0,"No data",TEXT('1. Property'!C76,"#,###")&amp;" SF"))</f>
        <v>No data</v>
      </c>
    </row>
    <row r="16" spans="1:2" ht="12.75">
      <c r="A16" s="251"/>
      <c r="B16" s="252"/>
    </row>
    <row r="17" spans="1:2" ht="12.75">
      <c r="A17" s="251" t="s">
        <v>160</v>
      </c>
      <c r="B17" s="254" t="str">
        <f>IF('2. Environmental'!B4=0,"No data",IF('2. Environmental'!B4="Yes",'2. Environmental'!B4&amp;": "&amp;'2. Environmental'!B5,'2. Environmental'!B4))</f>
        <v>No data</v>
      </c>
    </row>
    <row r="18" spans="1:2" ht="12.75">
      <c r="A18" s="251" t="s">
        <v>408</v>
      </c>
      <c r="B18" s="254" t="str">
        <f>IF('2. Environmental'!B7=0,"No data",'2. Environmental'!B7)</f>
        <v>No data</v>
      </c>
    </row>
    <row r="19" spans="1:2" ht="12.75">
      <c r="A19" s="251" t="s">
        <v>420</v>
      </c>
      <c r="B19" s="263" t="str">
        <f>IF('A. Pro Forma Data Inputs'!B8=0,"No data",'A. Pro Forma Data Inputs'!B8)</f>
        <v>No data</v>
      </c>
    </row>
    <row r="20" spans="1:2" ht="12.75">
      <c r="A20" s="251"/>
      <c r="B20" s="252"/>
    </row>
    <row r="21" spans="1:2" ht="12.75">
      <c r="A21" s="251" t="s">
        <v>409</v>
      </c>
      <c r="B21" s="254" t="str">
        <f>IF('3. Land Use Characteristics'!B9=0,"No data",'3. Land Use Characteristics'!B9)</f>
        <v>No data</v>
      </c>
    </row>
    <row r="22" spans="1:2" ht="12.75">
      <c r="A22" s="251" t="s">
        <v>411</v>
      </c>
      <c r="B22" s="254" t="str">
        <f>IF('3. Land Use Characteristics'!B13=0,"No data",'3. Land Use Characteristics'!B13)</f>
        <v>No data</v>
      </c>
    </row>
    <row r="23" spans="1:2" ht="12.75">
      <c r="A23" s="251" t="s">
        <v>410</v>
      </c>
      <c r="B23" s="254" t="str">
        <f>IF('3. Land Use Characteristics'!B24=0,"No data",'3. Land Use Characteristics'!B24)</f>
        <v>No data</v>
      </c>
    </row>
    <row r="24" spans="1:2" ht="12.75">
      <c r="A24" s="251"/>
      <c r="B24" s="252"/>
    </row>
    <row r="25" spans="1:2" ht="12.75">
      <c r="A25" s="251" t="s">
        <v>32</v>
      </c>
      <c r="B25" s="254" t="str">
        <f>IF('3. Land Use Characteristics'!B70=0,"No data",'3. Land Use Characteristics'!B70)</f>
        <v>No data</v>
      </c>
    </row>
    <row r="26" spans="1:2" ht="12.75">
      <c r="A26" s="251" t="s">
        <v>412</v>
      </c>
      <c r="B26" s="254" t="str">
        <f>IF('3. Land Use Characteristics'!B85=0,"No data",'3. Land Use Characteristics'!B85)</f>
        <v>No data</v>
      </c>
    </row>
    <row r="27" spans="1:2" ht="12.75">
      <c r="A27" s="251" t="s">
        <v>40</v>
      </c>
      <c r="B27" s="254" t="str">
        <f>IF('3. Land Use Characteristics'!B92=0,"No data",'3. Land Use Characteristics'!B92)</f>
        <v>No data</v>
      </c>
    </row>
    <row r="28" spans="1:2" ht="12.75">
      <c r="A28" s="251" t="s">
        <v>42</v>
      </c>
      <c r="B28" s="254" t="str">
        <f>IF('3. Land Use Characteristics'!B94=0,"No data",'3. Land Use Characteristics'!B94)</f>
        <v>No data</v>
      </c>
    </row>
    <row r="29" spans="1:2" ht="12.75">
      <c r="A29" s="251" t="s">
        <v>350</v>
      </c>
      <c r="B29" s="254" t="str">
        <f>IF('3. Land Use Characteristics'!B99=0,"No data",'3. Land Use Characteristics'!B99)</f>
        <v>No data</v>
      </c>
    </row>
    <row r="30" spans="1:2" ht="12.75">
      <c r="A30" s="251"/>
      <c r="B30" s="252"/>
    </row>
    <row r="31" spans="1:2" ht="12.75">
      <c r="A31" s="251" t="s">
        <v>413</v>
      </c>
      <c r="B31" s="254" t="str">
        <f>IF('5. Demographics'!B4=0,"No data",'5. Demographics'!B4)</f>
        <v>No data</v>
      </c>
    </row>
    <row r="32" spans="1:2" ht="12.75">
      <c r="A32" s="251" t="s">
        <v>115</v>
      </c>
      <c r="B32" s="254" t="str">
        <f>IF('4. Community'!B4=0,"No data",'4. Community'!B4)</f>
        <v>No data</v>
      </c>
    </row>
    <row r="33" spans="1:2" ht="12.75">
      <c r="A33" s="251" t="s">
        <v>124</v>
      </c>
      <c r="B33" s="254" t="str">
        <f>IF('4. Community'!B21=0,"No data",'4. Community'!B21)</f>
        <v>No data</v>
      </c>
    </row>
    <row r="34" spans="1:2" ht="12.75">
      <c r="A34" s="251" t="s">
        <v>137</v>
      </c>
      <c r="B34" s="254" t="str">
        <f>IF('4. Community'!B41=0,"No data",'4. Community'!B41)</f>
        <v>No data</v>
      </c>
    </row>
    <row r="35" spans="1:2" ht="25.5" customHeight="1">
      <c r="A35" s="251" t="s">
        <v>415</v>
      </c>
      <c r="B35" s="259" t="str">
        <f>IF(AND('5. Demographics'!C87="",'5. Demographics'!C88="",'5. Demographics'!C89="",'5. Demographics'!C90="",'5. Demographics'!C91="",'5. Demographics'!C92="",'5. Demographics'!C93=""),"No data",('5. Demographics'!C87&amp;'5. Demographics'!C88&amp;'5. Demographics'!C89&amp;'5. Demographics'!C90&amp;'5. Demographics'!C91&amp;'5. Demographics'!C92&amp;'5. Demographics'!C93))</f>
        <v>No data</v>
      </c>
    </row>
    <row r="36" spans="1:2" ht="25.5" customHeight="1">
      <c r="A36" s="251" t="s">
        <v>414</v>
      </c>
      <c r="B36" s="259" t="str">
        <f>IF(AND('5. Demographics'!C96="",'5. Demographics'!C97="",'5. Demographics'!C98="",'5. Demographics'!C99="",'5. Demographics'!C100="",'5. Demographics'!C101="",'5. Demographics'!C102=""),"No data",('5. Demographics'!C96&amp;'5. Demographics'!C97&amp;'5. Demographics'!C98&amp;'5. Demographics'!C99&amp;'5. Demographics'!C100&amp;'5. Demographics'!C101&amp;'5. Demographics'!C102))</f>
        <v>No data</v>
      </c>
    </row>
    <row r="37" spans="1:2" ht="25.5" customHeight="1">
      <c r="A37" s="251" t="s">
        <v>400</v>
      </c>
      <c r="B37" s="259" t="str">
        <f>IF(AND('5. Demographics'!C133="",'5. Demographics'!C134="",'5. Demographics'!C135="",'5. Demographics'!C136="",'5. Demographics'!C137="",'5. Demographics'!C138="",'5. Demographics'!C139="",'5. Demographics'!C140="",'5. Demographics'!C141="",'5. Demographics'!C142=""),"No data",('5. Demographics'!C133&amp;'5. Demographics'!C134&amp;'5. Demographics'!C135&amp;'5. Demographics'!C136&amp;'5. Demographics'!C137&amp;'5. Demographics'!C137&amp;'5. Demographics'!C138&amp;'5. Demographics'!C139&amp;'5. Demographics'!C140&amp;'5. Demographics'!C141&amp;'5. Demographics'!C142))</f>
        <v>No data</v>
      </c>
    </row>
    <row r="38" spans="1:2" ht="12.75">
      <c r="A38" s="251"/>
      <c r="B38" s="252"/>
    </row>
    <row r="39" spans="1:2" ht="12.75">
      <c r="A39" s="251" t="s">
        <v>416</v>
      </c>
      <c r="B39" s="254" t="str">
        <f>IF('5. Demographics'!B33=0,"No data",'5. Demographics'!B33)</f>
        <v>No data</v>
      </c>
    </row>
    <row r="40" spans="1:2" ht="12.75">
      <c r="A40" s="251" t="s">
        <v>417</v>
      </c>
      <c r="B40" s="254" t="str">
        <f>IF('5. Demographics'!B34=0,"No data",'5. Demographics'!B34)</f>
        <v>No data</v>
      </c>
    </row>
    <row r="41" spans="1:2" ht="12.75">
      <c r="A41" s="251" t="s">
        <v>418</v>
      </c>
      <c r="B41" s="255" t="str">
        <f>IF('5. Demographics'!B38=0,"No data",'5. Demographics'!B38)</f>
        <v>No data</v>
      </c>
    </row>
    <row r="43" spans="1:2" ht="15.75">
      <c r="A43" s="264" t="s">
        <v>421</v>
      </c>
      <c r="B43" s="253"/>
    </row>
    <row r="45" spans="1:2" ht="16.5" thickBot="1">
      <c r="A45" s="290" t="s">
        <v>419</v>
      </c>
      <c r="B45" s="291"/>
    </row>
    <row r="46" spans="1:2" ht="15.75">
      <c r="A46" s="260" t="str">
        <f>IF('6. Market Assessment'!E9="Fatal Flaw: Unviable Use","",'6. Market Assessment'!A9)</f>
        <v>Residential Market</v>
      </c>
      <c r="B46" s="261">
        <f>IF('6. Market Assessment'!E9="Fatal Flaw: Unviable Use","",'6. Market Assessment'!E9)</f>
        <v>0</v>
      </c>
    </row>
    <row r="47" spans="1:2" ht="15.75">
      <c r="A47" s="260" t="str">
        <f>IF('6. Market Assessment'!E31="Fatal Flaw: Unviable Use","",'6. Market Assessment'!A31)</f>
        <v>Commercial (Professional/Office) Market</v>
      </c>
      <c r="B47" s="261">
        <f>IF('6. Market Assessment'!E31="Fatal Flaw: Unviable Use","",'6. Market Assessment'!E31)</f>
        <v>0</v>
      </c>
    </row>
    <row r="48" spans="1:2" ht="15.75">
      <c r="A48" s="260" t="str">
        <f>IF('6. Market Assessment'!E43="Fatal Flaw: Unviable Use","",'6. Market Assessment'!A43)</f>
        <v>Retail Market</v>
      </c>
      <c r="B48" s="261">
        <f>IF('6. Market Assessment'!E43="Fatal Flaw: Unviable Use","",'6. Market Assessment'!E43)</f>
        <v>0</v>
      </c>
    </row>
    <row r="49" spans="1:2" ht="15.75">
      <c r="A49" s="260" t="str">
        <f>IF('6. Market Assessment'!E63="Fatal Flaw: Unviable Use","",'6. Market Assessment'!A63)</f>
        <v>Industrial Market (excluding warehouse)</v>
      </c>
      <c r="B49" s="261">
        <f>IF('6. Market Assessment'!E63="Fatal Flaw: Unviable Use","",'6. Market Assessment'!E63)</f>
        <v>0</v>
      </c>
    </row>
    <row r="50" spans="1:2" ht="15.75">
      <c r="A50" s="260" t="str">
        <f>IF('6. Market Assessment'!E75="Fatal Flaw: Unviable Use","",'6. Market Assessment'!A75)</f>
        <v>Warehouse Distribution Market</v>
      </c>
      <c r="B50" s="261">
        <f>IF('6. Market Assessment'!E75="Fatal Flaw: Unviable Use","",'6. Market Assessment'!E75)</f>
        <v>0</v>
      </c>
    </row>
    <row r="51" spans="1:2" ht="15.75">
      <c r="A51" s="260" t="str">
        <f>IF('6. Market Assessment'!E87="Fatal Flaw: Unviable Use","",'6. Market Assessment'!A87)</f>
        <v>Hotel/Hospitality Market</v>
      </c>
      <c r="B51" s="261">
        <f>IF('6. Market Assessment'!E87="Fatal Flaw: Unviable Use","",'6. Market Assessment'!E87)</f>
        <v>0</v>
      </c>
    </row>
    <row r="52" spans="1:2" ht="15.75">
      <c r="A52" s="260" t="str">
        <f>IF('6. Market Assessment'!E95="Fatal Flaw: Unviable Use","",'6. Market Assessment'!A95)</f>
        <v>Mixed Use Market</v>
      </c>
      <c r="B52" s="261">
        <f>IF('6. Market Assessment'!E95="Fatal Flaw: Unviable Use","",'6. Market Assessment'!E95)</f>
        <v>0</v>
      </c>
    </row>
    <row r="53" spans="1:2" ht="15.75">
      <c r="A53" s="260" t="str">
        <f>IF('6. Market Assessment'!E104="Fatal Flaw: Unviable Use","",'6. Market Assessment'!A104)</f>
        <v>Energy</v>
      </c>
      <c r="B53" s="261">
        <f>IF('6. Market Assessment'!E104="Fatal Flaw: Unviable Use","",'6. Market Assessment'!E104)</f>
        <v>0</v>
      </c>
    </row>
    <row r="54" spans="1:2" ht="15.75">
      <c r="A54" s="260" t="str">
        <f>IF('6. Market Assessment'!E114="Fatal Flaw: Unviable Use","",'6. Market Assessment'!A114)</f>
        <v>Greenspace</v>
      </c>
      <c r="B54" s="261">
        <f>IF('6. Market Assessment'!E114="Fatal Flaw: Unviable Use","",'6. Market Assessment'!E114)</f>
        <v>0</v>
      </c>
    </row>
    <row r="55" spans="1:2" ht="16.5" thickBot="1">
      <c r="A55" s="260" t="str">
        <f>IF('6. Market Assessment'!E123="Fatal Flaw: Unviable Use","",'6. Market Assessment'!A123)</f>
        <v>Government</v>
      </c>
      <c r="B55" s="261">
        <f>IF('6. Market Assessment'!E123="Fatal Flaw: Unviable Use","",'6. Market Assessment'!E123)</f>
        <v>0</v>
      </c>
    </row>
    <row r="56" spans="1:2" ht="101.25" customHeight="1" thickBot="1">
      <c r="A56" s="307" t="s">
        <v>432</v>
      </c>
      <c r="B56" s="307"/>
    </row>
    <row r="59" spans="1:2" ht="16.5" thickBot="1">
      <c r="A59" s="290" t="s">
        <v>431</v>
      </c>
      <c r="B59" s="291"/>
    </row>
    <row r="60" spans="1:6" ht="12.75">
      <c r="A60" s="308">
        <f>IF(AND('6. Market Assessment'!E9="Fatal Flaw: Unviable Use",C60="",D60="",E60="",F60=""),'6. Market Assessment'!A9&amp;": Decision Enhancer Tool designated fatal flaw.  ",IF('6. Market Assessment'!E9="Fatal Flaw: Unviable Use",'6. Market Assessment'!A9&amp;": "&amp;C60&amp;D60&amp;E60&amp;F60,""))</f>
      </c>
      <c r="B60" s="308"/>
      <c r="C60" s="43">
        <f>IF(AND('1. Property'!B49="yes",'1. Property'!D49&lt;&gt;""),'1. Property'!D49&amp;".  ",IF('1. Property'!B49="yes","User-identified fatal flaw, no detailed rationale provided.  ",""))</f>
      </c>
      <c r="D60" s="43">
        <f>IF('2. Environmental'!B13="Yes","Land use restricted by environmental contamination.  ","")</f>
      </c>
      <c r="E60" s="43">
        <f>IF(AND('3. Land Use Characteristics'!B51="yes",'3. Land Use Characteristics'!D51&lt;&gt;""),'3. Land Use Characteristics'!D51&amp;".  ",IF('3. Land Use Characteristics'!B51="yes","User identified land use policy fatal flaw, no detailed rationale provided.  ",""))</f>
      </c>
      <c r="F60" s="43">
        <f>IF(AND('5. Demographics'!B145="yes",'5. Demographics'!D145&lt;&gt;""),'5. Demographics'!D145&amp;".  ",IF('5. Demographics'!B145="yes","User identified local economy fatal flaw, no detailed rationale provided.  ",""))</f>
      </c>
    </row>
    <row r="61" spans="1:6" ht="12.75">
      <c r="A61" s="309">
        <f>IF(AND('6. Market Assessment'!E31="Fatal Flaw: Unviable Use",C61="",D61="",E61="",F61=""),'6. Market Assessment'!A31&amp;": Decision Enhancer Tool designated fatal flaw.  ",IF('6. Market Assessment'!E31="Fatal Flaw: Unviable Use",'6. Market Assessment'!A31&amp;": "&amp;C61&amp;D61&amp;E61&amp;F61,""))</f>
      </c>
      <c r="B61" s="309"/>
      <c r="C61" s="43">
        <f>IF(AND('1. Property'!B50="yes",'1. Property'!D50&lt;&gt;""),'1. Property'!D50&amp;".  ",IF('1. Property'!B50="yes","User-identified fatal flaw, no detailed rationale provided.  ",""))</f>
      </c>
      <c r="D61" s="43">
        <f>IF('2. Environmental'!B14="Yes","Land use restricted by environmental contamination.  ","")</f>
      </c>
      <c r="E61" s="43">
        <f>IF(AND('3. Land Use Characteristics'!B52="yes",'3. Land Use Characteristics'!D52&lt;&gt;""),'3. Land Use Characteristics'!D52&amp;".  ",IF('3. Land Use Characteristics'!B52="yes","User identified land use policy fatal flaw, no detailed rationale provided.  ",""))</f>
      </c>
      <c r="F61" s="43">
        <f>IF(AND('5. Demographics'!B146="yes",'5. Demographics'!D146&lt;&gt;""),'5. Demographics'!D146&amp;".  ",IF('5. Demographics'!B146="yes","User identified local economy fatal flaw, no detailed rationale provided.  ",""))</f>
      </c>
    </row>
    <row r="62" spans="1:6" ht="12.75">
      <c r="A62" s="309">
        <f>IF(AND('6. Market Assessment'!E43="Fatal Flaw: Unviable Use",C62="",D62="",E62="",F62=""),'6. Market Assessment'!A43&amp;": Decision Enhancer Tool designated fatal flaw.  ",IF('6. Market Assessment'!E43="Fatal Flaw: Unviable Use",'6. Market Assessment'!A43&amp;": "&amp;C62&amp;D62&amp;E62&amp;F62,""))</f>
      </c>
      <c r="B62" s="309"/>
      <c r="C62" s="43">
        <f>IF(AND('1. Property'!B51="yes",'1. Property'!D51&lt;&gt;""),'1. Property'!D51&amp;".  ",IF('1. Property'!B51="yes","User-identified fatal flaw, no detailed rationale provided.  ",""))</f>
      </c>
      <c r="D62" s="43">
        <f>IF('2. Environmental'!B15="Yes","Land use restricted by environmental contamination.  ","")</f>
      </c>
      <c r="E62" s="43">
        <f>IF(AND('3. Land Use Characteristics'!B53="yes",'3. Land Use Characteristics'!D53&lt;&gt;""),'3. Land Use Characteristics'!D53&amp;".  ",IF('3. Land Use Characteristics'!B53="yes","User identified land use policy fatal flaw, no detailed rationale provided.  ",""))</f>
      </c>
      <c r="F62" s="43">
        <f>IF(AND('5. Demographics'!B147="yes",'5. Demographics'!D147&lt;&gt;""),'5. Demographics'!D147&amp;".  ",IF('5. Demographics'!B147="yes","User identified local economy fatal flaw, no detailed rationale provided.  ",""))</f>
      </c>
    </row>
    <row r="63" spans="1:6" ht="12.75">
      <c r="A63" s="309">
        <f>IF(AND('6. Market Assessment'!E63="Fatal Flaw: Unviable Use",C63="",D63="",E63="",F63=""),'6. Market Assessment'!A63&amp;": Decision Enhancer Tool designated fatal flaw.  ",IF('6. Market Assessment'!E63="Fatal Flaw: Unviable Use",'6. Market Assessment'!A63&amp;": "&amp;C63&amp;D63&amp;E63&amp;F63,""))</f>
      </c>
      <c r="B63" s="309"/>
      <c r="C63" s="43">
        <f>IF(AND('1. Property'!B52="yes",'1. Property'!D52&lt;&gt;""),'1. Property'!D52&amp;".  ",IF('1. Property'!B52="yes","User-identified fatal flaw, no detailed rationale provided.  ",""))</f>
      </c>
      <c r="D63" s="43">
        <f>IF('2. Environmental'!B16="Yes","Land use restricted by environmental contamination.  ","")</f>
      </c>
      <c r="E63" s="43">
        <f>IF(AND('3. Land Use Characteristics'!B54="yes",'3. Land Use Characteristics'!D54&lt;&gt;""),'3. Land Use Characteristics'!D54&amp;".  ",IF('3. Land Use Characteristics'!B54="yes","User identified land use policy fatal flaw, no detailed rationale provided.  ",""))</f>
      </c>
      <c r="F63" s="43">
        <f>IF(AND('5. Demographics'!B148="yes",'5. Demographics'!D148&lt;&gt;""),'5. Demographics'!D148&amp;".  ",IF('5. Demographics'!B148="yes","User identified local economy fatal flaw, no detailed rationale provided.  ",""))</f>
      </c>
    </row>
    <row r="64" spans="1:7" ht="12.75">
      <c r="A64" s="309">
        <f>IF(AND('6. Market Assessment'!E75="Fatal Flaw: Unviable Use",C64="",D64="",E64="",F64="",G64=""),'6. Market Assessment'!A75&amp;": Decision Enhancer Tool designated fatal flaw.  ",IF('6. Market Assessment'!E75="Fatal Flaw: Unviable Use",'6. Market Assessment'!A75&amp;": "&amp;C64&amp;D64&amp;E64&amp;F64&amp;G64,""))</f>
      </c>
      <c r="B64" s="309"/>
      <c r="C64" s="43">
        <f>IF(AND('1. Property'!$B$46&gt;0,'1. Property'!$B$46&lt;1),"Warehouse use restricted because property size is less than one acre.  ","")</f>
      </c>
      <c r="D64" s="43">
        <f>IF(AND('1. Property'!B53="yes",'1. Property'!D53&lt;&gt;""),'1. Property'!D53&amp;".  ",IF('1. Property'!B53="yes","User-identified fatal flaw, no detailed rationale provided.  ",""))</f>
      </c>
      <c r="E64" s="43">
        <f>IF('2. Environmental'!B17="Yes","Land use restricted by environmental contamination.  ","")</f>
      </c>
      <c r="F64" s="43">
        <f>IF(AND('3. Land Use Characteristics'!B55="yes",'3. Land Use Characteristics'!D55&lt;&gt;""),'3. Land Use Characteristics'!D55&amp;".  ",IF('3. Land Use Characteristics'!B55="yes","User identified land use policy fatal flaw, no detailed rationale provided.  ",""))</f>
      </c>
      <c r="G64" s="43">
        <f>IF(AND('5. Demographics'!B149="yes",'5. Demographics'!D149&lt;&gt;""),'5. Demographics'!D149&amp;".  ",IF('5. Demographics'!B149="yes","User identified local economy fatal flaw, no detailed rationale provided.  ",""))</f>
      </c>
    </row>
    <row r="65" spans="1:6" ht="12.75">
      <c r="A65" s="309">
        <f>IF(AND('6. Market Assessment'!E87="Fatal Flaw: Unviable Use",C65="",D65="",E65="",F65=""),'6. Market Assessment'!A87&amp;": Decision Enhancer Tool designated fatal flaw.  ",IF('6. Market Assessment'!E87="Fatal Flaw: Unviable Use",'6. Market Assessment'!A87&amp;": "&amp;C65&amp;D65&amp;E65&amp;F65,""))</f>
      </c>
      <c r="B65" s="309"/>
      <c r="C65" s="43">
        <f>IF(AND('1. Property'!B54="yes",'1. Property'!D54&lt;&gt;""),'1. Property'!D54&amp;".  ",IF('1. Property'!B54="yes","User-identified fatal flaw, no detailed rationale provided.  ",""))</f>
      </c>
      <c r="D65" s="43">
        <f>IF('2. Environmental'!B18="Yes","Land use restricted by environmental contamination.  ","")</f>
      </c>
      <c r="E65" s="43">
        <f>IF(AND('3. Land Use Characteristics'!B56="yes",'3. Land Use Characteristics'!D56&lt;&gt;""),'3. Land Use Characteristics'!D56&amp;".  ",IF('3. Land Use Characteristics'!B56="yes","User identified land use policy fatal flaw, no detailed rationale provided.  ",""))</f>
      </c>
      <c r="F65" s="43">
        <f>IF(AND('5. Demographics'!B150="yes",'5. Demographics'!D150&lt;&gt;""),'5. Demographics'!D150&amp;".  ",IF('5. Demographics'!B150="yes","User identified local economy fatal flaw, no detailed rationale provided.  ",""))</f>
      </c>
    </row>
    <row r="66" spans="1:6" ht="12.75">
      <c r="A66" s="309">
        <f>IF(AND('6. Market Assessment'!E95="Fatal Flaw: Unviable Use",C66="",D66="",E66="",F66=""),'6. Market Assessment'!A95&amp;": Decision Enhancer Tool designated fatal flaw.  ",IF('6. Market Assessment'!E95="Fatal Flaw: Unviable Use",'6. Market Assessment'!A95&amp;": "&amp;C66&amp;D66&amp;E66&amp;F66,""))</f>
      </c>
      <c r="B66" s="309"/>
      <c r="C66" s="43">
        <f>IF(AND('1. Property'!B55="yes",'1. Property'!D55&lt;&gt;""),'1. Property'!D55&amp;".  ",IF('1. Property'!B55="yes","User-identified fatal flaw, no detailed rationale provided.  ",""))</f>
      </c>
      <c r="D66" s="43">
        <f>IF('2. Environmental'!B19="Yes","Land use restricted by environmental contamination.  ","")</f>
      </c>
      <c r="E66" s="43">
        <f>IF(AND('3. Land Use Characteristics'!B57="yes",'3. Land Use Characteristics'!D57&lt;&gt;""),'3. Land Use Characteristics'!D57&amp;".  ",IF('3. Land Use Characteristics'!B57="yes","User identified land use policy fatal flaw, no detailed rationale provided.  ",""))</f>
      </c>
      <c r="F66" s="43">
        <f>IF(AND('5. Demographics'!B151="yes",'5. Demographics'!D151&lt;&gt;""),'5. Demographics'!D151&amp;".  ",IF('5. Demographics'!B151="yes","User identified local economy fatal flaw, no detailed rationale provided.  ",""))</f>
      </c>
    </row>
    <row r="67" spans="1:6" ht="12.75">
      <c r="A67" s="309">
        <f>IF(AND('6. Market Assessment'!E104="Fatal Flaw: Unviable Use",C67="",D67="",E67="",F67=""),'6. Market Assessment'!A104&amp;": Decision Enhancer Tool designated fatal flaw.  ",IF('6. Market Assessment'!E104="Fatal Flaw: Unviable Use",'6. Market Assessment'!A104&amp;": "&amp;C67&amp;D67&amp;E67&amp;F67,""))</f>
      </c>
      <c r="B67" s="309"/>
      <c r="C67" s="43">
        <f>IF(AND('1. Property'!B56="yes",'1. Property'!D56&lt;&gt;""),'1. Property'!D56&amp;".  ",IF('1. Property'!B56="yes","User-identified fatal flaw, no detailed rationale provided.  ",""))</f>
      </c>
      <c r="D67" s="43">
        <f>IF('2. Environmental'!B20="Yes","Land use restricted by environmental contamination.  ","")</f>
      </c>
      <c r="E67" s="43">
        <f>IF(AND('3. Land Use Characteristics'!B58="yes",'3. Land Use Characteristics'!D58&lt;&gt;""),'3. Land Use Characteristics'!D58&amp;".  ",IF('3. Land Use Characteristics'!B58="yes","User identified land use policy fatal flaw, no detailed rationale provided.  ",""))</f>
      </c>
      <c r="F67" s="43">
        <f>IF(AND('5. Demographics'!B152="yes",'5. Demographics'!D152&lt;&gt;""),'5. Demographics'!D152&amp;".  ",IF('5. Demographics'!B152="yes","User identified local economy fatal flaw, no detailed rationale provided.  ",""))</f>
      </c>
    </row>
    <row r="68" spans="1:6" ht="12.75">
      <c r="A68" s="309">
        <f>IF(AND('6. Market Assessment'!E114="Fatal Flaw: Unviable Use",C68="",D68="",E68="",F68=""),'6. Market Assessment'!A114&amp;": Decision Enhancer Tool designated fatal flaw.  ",IF('6. Market Assessment'!E114="Fatal Flaw: Unviable Use",'6. Market Assessment'!A114&amp;": "&amp;C68&amp;D68&amp;E68&amp;F68,""))</f>
      </c>
      <c r="B68" s="309"/>
      <c r="C68" s="43">
        <f>IF(AND('1. Property'!B57="yes",'1. Property'!D57&lt;&gt;""),'1. Property'!D57&amp;".  ",IF('1. Property'!B57="yes","User-identified fatal flaw, no detailed rationale provided.  ",""))</f>
      </c>
      <c r="D68" s="43">
        <f>IF('2. Environmental'!B21="Yes","Land use restricted by environmental contamination.  ","")</f>
      </c>
      <c r="E68" s="43">
        <f>IF(AND('3. Land Use Characteristics'!B59="yes",'3. Land Use Characteristics'!D59&lt;&gt;""),'3. Land Use Characteristics'!D59&amp;".  ",IF('3. Land Use Characteristics'!B59="yes","User identified land use policy fatal flaw, no detailed rationale provided.  ",""))</f>
      </c>
      <c r="F68" s="43">
        <f>IF(AND('5. Demographics'!B153="yes",'5. Demographics'!D153&lt;&gt;""),'5. Demographics'!D153&amp;".  ",IF('5. Demographics'!B153="yes","User identified local economy fatal flaw, no detailed rationale provided.  ",""))</f>
      </c>
    </row>
    <row r="69" spans="1:6" ht="12.75">
      <c r="A69" s="309">
        <f>IF(AND('6. Market Assessment'!E123="Fatal Flaw: Unviable Use",C69="",D69="",E69="",F69=""),'6. Market Assessment'!A123&amp;": Decision Enhancer Tool designated fatal flaw.  ",IF('6. Market Assessment'!E123="Fatal Flaw: Unviable Use",'6. Market Assessment'!A123&amp;": "&amp;C69&amp;D69&amp;E69&amp;F69,""))</f>
      </c>
      <c r="B69" s="309"/>
      <c r="C69" s="43">
        <f>IF(AND('1. Property'!B58="yes",'1. Property'!D58&lt;&gt;""),'1. Property'!D58&amp;".  ",IF('1. Property'!B58="yes","User-identified fatal flaw, no detailed rationale provided.  ",""))</f>
      </c>
      <c r="D69" s="43">
        <f>IF('2. Environmental'!B22="Yes","Land use restricted by environmental contamination.  ","")</f>
      </c>
      <c r="E69" s="43">
        <f>IF(AND('3. Land Use Characteristics'!B60="yes",'3. Land Use Characteristics'!D60&lt;&gt;""),'3. Land Use Characteristics'!D60&amp;".  ",IF('3. Land Use Characteristics'!B60="yes","User identified land use policy fatal flaw, no detailed rationale provided.  ",""))</f>
      </c>
      <c r="F69" s="43">
        <f>IF(AND('5. Demographics'!B154="yes",'5. Demographics'!D154&lt;&gt;""),'5. Demographics'!D154&amp;".  ",IF('5. Demographics'!B154="yes","User identified local economy fatal flaw, no detailed rationale provided.  ",""))</f>
      </c>
    </row>
    <row r="70" spans="1:6" ht="12.75">
      <c r="A70" s="11"/>
      <c r="B70" s="11"/>
      <c r="C70" s="43"/>
      <c r="D70" s="43"/>
      <c r="E70" s="43"/>
      <c r="F70" s="43"/>
    </row>
    <row r="71" spans="1:6" ht="12.75">
      <c r="A71" s="11"/>
      <c r="B71" s="11"/>
      <c r="C71" s="43"/>
      <c r="D71" s="43"/>
      <c r="E71" s="43"/>
      <c r="F71" s="43"/>
    </row>
    <row r="72" spans="3:6" ht="12.75">
      <c r="C72" s="43"/>
      <c r="D72" s="43"/>
      <c r="E72" s="43"/>
      <c r="F72" s="43"/>
    </row>
    <row r="73" spans="3:6" ht="12.75">
      <c r="C73" s="43"/>
      <c r="D73" s="43"/>
      <c r="E73" s="43"/>
      <c r="F73" s="43"/>
    </row>
  </sheetData>
  <sheetProtection password="C687" sheet="1" objects="1" scenarios="1"/>
  <mergeCells count="11">
    <mergeCell ref="A69:B69"/>
    <mergeCell ref="A63:B63"/>
    <mergeCell ref="A64:B64"/>
    <mergeCell ref="A65:B65"/>
    <mergeCell ref="A66:B66"/>
    <mergeCell ref="A56:B56"/>
    <mergeCell ref="A60:B60"/>
    <mergeCell ref="A61:B61"/>
    <mergeCell ref="A62:B62"/>
    <mergeCell ref="A67:B67"/>
    <mergeCell ref="A68:B68"/>
  </mergeCells>
  <conditionalFormatting sqref="A46:A55">
    <cfRule type="expression" priority="4" dxfId="15" stopIfTrue="1">
      <formula>B46&lt;&gt;""</formula>
    </cfRule>
  </conditionalFormatting>
  <conditionalFormatting sqref="B46:B55">
    <cfRule type="cellIs" priority="5" dxfId="14" operator="notEqual" stopIfTrue="1">
      <formula>""</formula>
    </cfRule>
  </conditionalFormatting>
  <conditionalFormatting sqref="B2:B41">
    <cfRule type="cellIs" priority="6" dxfId="13" operator="equal" stopIfTrue="1">
      <formula>"No data"</formula>
    </cfRule>
  </conditionalFormatting>
  <printOptions/>
  <pageMargins left="0.75" right="0.75" top="1.25" bottom="1" header="0.5" footer="0.5"/>
  <pageSetup fitToHeight="2" horizontalDpi="600" verticalDpi="600" orientation="portrait" scale="96" r:id="rId2"/>
  <headerFooter alignWithMargins="0">
    <oddHeader>&amp;L&amp;"Arial Narrow,Bold"&amp;11FOCUS WV Brownfields Mini-Grant Program 
Land Use Decision Enhancer Tool:
&amp;A, Page &amp;P of &amp;N&amp;R&amp;"Arial Narrow,Bold"Today's Date: &amp;D
&amp;"Arial Narrow,Regular"Prepared by: SRA International, Inc. and Vita Nuova, LLC</oddHeader>
    <oddFooter xml:space="preserve">&amp;L&amp;G&amp;C&amp;"Arial Narrow,Regular"This tool should not be used independently or as a primary reuse decision making tool. Reuse and
investment planning should be based on unique drivers, detailed valuation tools, and local knowledge of the site.&amp;R&amp;G  </oddFooter>
  </headerFooter>
  <rowBreaks count="1" manualBreakCount="1">
    <brk id="42" max="1" man="1"/>
  </rowBreaks>
  <legacyDrawingHF r:id="rId1"/>
</worksheet>
</file>

<file path=xl/worksheets/sheet8.xml><?xml version="1.0" encoding="utf-8"?>
<worksheet xmlns="http://schemas.openxmlformats.org/spreadsheetml/2006/main" xmlns:r="http://schemas.openxmlformats.org/officeDocument/2006/relationships">
  <sheetPr>
    <tabColor indexed="58"/>
  </sheetPr>
  <dimension ref="A1:O68"/>
  <sheetViews>
    <sheetView tabSelected="1" zoomScalePageLayoutView="0" workbookViewId="0" topLeftCell="A1">
      <pane xSplit="3" ySplit="1" topLeftCell="D2" activePane="bottomRight" state="frozen"/>
      <selection pane="topLeft" activeCell="D2" sqref="D2"/>
      <selection pane="topRight" activeCell="D2" sqref="D2"/>
      <selection pane="bottomLeft" activeCell="D2" sqref="D2"/>
      <selection pane="bottomRight" activeCell="E5" sqref="E5"/>
    </sheetView>
  </sheetViews>
  <sheetFormatPr defaultColWidth="9.140625" defaultRowHeight="12.75"/>
  <cols>
    <col min="1" max="1" width="33.8515625" style="52" customWidth="1"/>
    <col min="2" max="2" width="19.140625" style="52" customWidth="1"/>
    <col min="3" max="3" width="29.421875" style="52" customWidth="1"/>
    <col min="4" max="4" width="20.28125" style="52" bestFit="1" customWidth="1"/>
    <col min="5" max="5" width="11.421875" style="52" customWidth="1"/>
    <col min="6" max="6" width="11.00390625" style="69" customWidth="1"/>
    <col min="7" max="16384" width="9.140625" style="52" customWidth="1"/>
  </cols>
  <sheetData>
    <row r="1" spans="1:15" s="71" customFormat="1" ht="13.5">
      <c r="A1" s="273" t="s">
        <v>430</v>
      </c>
      <c r="B1" s="274"/>
      <c r="C1" s="93"/>
      <c r="D1" s="284"/>
      <c r="E1" s="284"/>
      <c r="F1" s="284"/>
      <c r="G1" s="284"/>
      <c r="H1" s="284"/>
      <c r="I1" s="284"/>
      <c r="J1" s="284"/>
      <c r="K1" s="284"/>
      <c r="L1" s="284"/>
      <c r="M1" s="284"/>
      <c r="N1" s="284"/>
      <c r="O1" s="284"/>
    </row>
    <row r="2" spans="1:15" s="71" customFormat="1" ht="16.5">
      <c r="A2" s="276" t="str">
        <f>IF('1. Property'!B4="","",'1. Property'!B4)&amp;": Pro Forma Inputs"</f>
        <v>: Pro Forma Inputs</v>
      </c>
      <c r="B2" s="283"/>
      <c r="C2" s="283"/>
      <c r="D2" s="284"/>
      <c r="E2" s="284"/>
      <c r="F2" s="284"/>
      <c r="G2" s="284"/>
      <c r="H2" s="284"/>
      <c r="I2" s="284"/>
      <c r="J2" s="284"/>
      <c r="K2" s="284"/>
      <c r="L2" s="284"/>
      <c r="M2" s="284"/>
      <c r="N2" s="284"/>
      <c r="O2" s="284"/>
    </row>
    <row r="3" spans="1:6" ht="12.75">
      <c r="A3" s="54" t="s">
        <v>141</v>
      </c>
      <c r="B3" s="212"/>
      <c r="C3" s="213"/>
      <c r="D3" s="71"/>
      <c r="E3" s="71"/>
      <c r="F3" s="71"/>
    </row>
    <row r="4" spans="1:4" ht="38.25">
      <c r="A4" s="303" t="s">
        <v>451</v>
      </c>
      <c r="B4" s="304">
        <f>'1. Property'!$I$76</f>
        <v>0</v>
      </c>
      <c r="C4" s="71"/>
      <c r="D4" s="71"/>
    </row>
    <row r="5" spans="1:4" ht="12.75">
      <c r="A5" s="69" t="s">
        <v>447</v>
      </c>
      <c r="B5" s="134"/>
      <c r="C5" s="71"/>
      <c r="D5" s="71"/>
    </row>
    <row r="6" spans="1:4" ht="12.75">
      <c r="A6" s="69" t="s">
        <v>448</v>
      </c>
      <c r="B6" s="134"/>
      <c r="C6" s="71"/>
      <c r="D6" s="71"/>
    </row>
    <row r="7" spans="1:5" ht="12.75">
      <c r="A7" s="85" t="s">
        <v>449</v>
      </c>
      <c r="B7" s="145"/>
      <c r="C7" s="53"/>
      <c r="D7" s="69"/>
      <c r="E7" s="69"/>
    </row>
    <row r="8" spans="1:6" ht="12.75">
      <c r="A8" s="62" t="s">
        <v>345</v>
      </c>
      <c r="B8" s="157">
        <f>SUM(B4:B7)</f>
        <v>0</v>
      </c>
      <c r="C8" s="71"/>
      <c r="D8" s="71"/>
      <c r="E8" s="71"/>
      <c r="F8" s="71"/>
    </row>
    <row r="9" spans="1:6" ht="12.75">
      <c r="A9" s="62"/>
      <c r="B9" s="157"/>
      <c r="C9" s="71"/>
      <c r="D9" s="71"/>
      <c r="E9" s="71"/>
      <c r="F9" s="71"/>
    </row>
    <row r="10" spans="1:5" ht="12.75">
      <c r="A10" s="53"/>
      <c r="B10" s="157"/>
      <c r="C10" s="53"/>
      <c r="D10" s="69"/>
      <c r="E10" s="69"/>
    </row>
    <row r="11" spans="1:5" ht="12.75">
      <c r="A11" s="69" t="s">
        <v>297</v>
      </c>
      <c r="B11" s="134"/>
      <c r="C11" s="69" t="s">
        <v>298</v>
      </c>
      <c r="D11" s="69"/>
      <c r="E11" s="69"/>
    </row>
    <row r="12" spans="1:5" ht="12.75">
      <c r="A12" s="69" t="s">
        <v>318</v>
      </c>
      <c r="B12" s="134"/>
      <c r="C12" s="69" t="s">
        <v>332</v>
      </c>
      <c r="D12" s="69"/>
      <c r="E12" s="69"/>
    </row>
    <row r="13" spans="2:5" ht="12.75">
      <c r="B13" s="69"/>
      <c r="C13" s="157"/>
      <c r="D13" s="69"/>
      <c r="E13" s="69"/>
    </row>
    <row r="14" spans="1:6" ht="12.75">
      <c r="A14" s="54" t="s">
        <v>341</v>
      </c>
      <c r="B14" s="214"/>
      <c r="C14" s="213"/>
      <c r="D14" s="71"/>
      <c r="E14" s="71"/>
      <c r="F14" s="71"/>
    </row>
    <row r="15" spans="2:5" ht="12.75">
      <c r="B15" s="215" t="s">
        <v>301</v>
      </c>
      <c r="C15" s="157"/>
      <c r="D15" s="69"/>
      <c r="E15" s="69"/>
    </row>
    <row r="16" spans="1:5" ht="12.75">
      <c r="A16" s="170" t="s">
        <v>142</v>
      </c>
      <c r="B16" s="248">
        <f>IF('1. Property'!B61="No","No existing buildings/structures onsite","")</f>
      </c>
      <c r="D16" s="69"/>
      <c r="E16" s="69"/>
    </row>
    <row r="17" spans="1:5" ht="12.75">
      <c r="A17" s="53" t="s">
        <v>368</v>
      </c>
      <c r="B17" s="134"/>
      <c r="C17" s="53" t="s">
        <v>112</v>
      </c>
      <c r="D17" s="69"/>
      <c r="E17" s="69"/>
    </row>
    <row r="18" spans="1:5" ht="12.75">
      <c r="A18" s="53" t="s">
        <v>369</v>
      </c>
      <c r="B18" s="134"/>
      <c r="C18" s="53" t="s">
        <v>112</v>
      </c>
      <c r="D18" s="69"/>
      <c r="E18" s="69"/>
    </row>
    <row r="19" spans="2:5" ht="12.75">
      <c r="B19" s="69"/>
      <c r="D19" s="69"/>
      <c r="E19" s="69"/>
    </row>
    <row r="20" spans="1:5" ht="12.75">
      <c r="A20" s="170" t="s">
        <v>319</v>
      </c>
      <c r="B20" s="248">
        <f>IF('1. Property'!B61="No","No existing buildings/structures onsite","")</f>
      </c>
      <c r="C20" s="172"/>
      <c r="D20" s="216"/>
      <c r="E20" s="69"/>
    </row>
    <row r="21" spans="1:5" ht="12.75">
      <c r="A21" s="53" t="s">
        <v>20</v>
      </c>
      <c r="B21" s="134"/>
      <c r="C21" s="53" t="s">
        <v>112</v>
      </c>
      <c r="D21" s="232">
        <f>IF('6. Market Assessment'!$E$9="Fatal Flaw: Unviable Use","Fatal Flaw: Unviable Use","")</f>
      </c>
      <c r="E21" s="69"/>
    </row>
    <row r="22" spans="1:5" ht="12.75">
      <c r="A22" s="53" t="s">
        <v>292</v>
      </c>
      <c r="B22" s="134"/>
      <c r="C22" s="53" t="s">
        <v>112</v>
      </c>
      <c r="D22" s="232">
        <f>IF('6. Market Assessment'!$E$31="Fatal Flaw: Unviable Use","Fatal Flaw: Unviable Use","")</f>
      </c>
      <c r="E22" s="69"/>
    </row>
    <row r="23" spans="1:5" ht="12.75">
      <c r="A23" s="53" t="s">
        <v>22</v>
      </c>
      <c r="B23" s="134"/>
      <c r="C23" s="53" t="s">
        <v>112</v>
      </c>
      <c r="D23" s="232">
        <f>IF('6. Market Assessment'!$E$43="Fatal Flaw: Unviable Use","Fatal Flaw: Unviable Use","")</f>
      </c>
      <c r="E23" s="69"/>
    </row>
    <row r="24" spans="1:5" ht="12.75">
      <c r="A24" s="53" t="s">
        <v>0</v>
      </c>
      <c r="B24" s="134"/>
      <c r="C24" s="53" t="s">
        <v>112</v>
      </c>
      <c r="D24" s="232">
        <f>IF('6. Market Assessment'!$E$63="Fatal Flaw: Unviable Use","Fatal Flaw: Unviable Use","")</f>
      </c>
      <c r="E24" s="69"/>
    </row>
    <row r="25" spans="1:5" ht="12.75">
      <c r="A25" s="53" t="s">
        <v>28</v>
      </c>
      <c r="B25" s="134"/>
      <c r="C25" s="53" t="s">
        <v>112</v>
      </c>
      <c r="D25" s="232">
        <f>IF('6. Market Assessment'!$E$75="Fatal Flaw: Unviable Use","Fatal Flaw: Unviable Use","")</f>
      </c>
      <c r="E25" s="69"/>
    </row>
    <row r="26" spans="1:5" ht="12.75">
      <c r="A26" s="53" t="s">
        <v>162</v>
      </c>
      <c r="B26" s="134"/>
      <c r="C26" s="53" t="s">
        <v>112</v>
      </c>
      <c r="D26" s="232">
        <f>IF('6. Market Assessment'!$E$87="Fatal Flaw: Unviable Use","Fatal Flaw: Unviable Use","")</f>
      </c>
      <c r="E26" s="69"/>
    </row>
    <row r="27" spans="1:5" ht="12.75">
      <c r="A27" s="53"/>
      <c r="B27" s="157"/>
      <c r="C27" s="172"/>
      <c r="D27" s="216"/>
      <c r="E27" s="69"/>
    </row>
    <row r="28" spans="1:5" ht="12.75">
      <c r="A28" s="170" t="s">
        <v>143</v>
      </c>
      <c r="B28" s="215"/>
      <c r="C28" s="172"/>
      <c r="D28" s="216"/>
      <c r="E28" s="69"/>
    </row>
    <row r="29" spans="1:5" ht="12.75">
      <c r="A29" s="53" t="s">
        <v>20</v>
      </c>
      <c r="B29" s="134"/>
      <c r="C29" s="53" t="s">
        <v>112</v>
      </c>
      <c r="D29" s="232">
        <f>IF('6. Market Assessment'!$E$9="Fatal Flaw: Unviable Use","Fatal Flaw: Unviable Use","")</f>
      </c>
      <c r="E29" s="69"/>
    </row>
    <row r="30" spans="1:5" ht="12.75">
      <c r="A30" s="53" t="s">
        <v>292</v>
      </c>
      <c r="B30" s="134"/>
      <c r="C30" s="53" t="s">
        <v>112</v>
      </c>
      <c r="D30" s="232">
        <f>IF('6. Market Assessment'!$E$31="Fatal Flaw: Unviable Use","Fatal Flaw: Unviable Use","")</f>
      </c>
      <c r="E30" s="69"/>
    </row>
    <row r="31" spans="1:5" ht="12.75">
      <c r="A31" s="53" t="s">
        <v>22</v>
      </c>
      <c r="B31" s="134"/>
      <c r="C31" s="53" t="s">
        <v>112</v>
      </c>
      <c r="D31" s="232">
        <f>IF('6. Market Assessment'!$E$43="Fatal Flaw: Unviable Use","Fatal Flaw: Unviable Use","")</f>
      </c>
      <c r="E31" s="69"/>
    </row>
    <row r="32" spans="1:5" ht="12.75">
      <c r="A32" s="53" t="s">
        <v>0</v>
      </c>
      <c r="B32" s="134"/>
      <c r="C32" s="53" t="s">
        <v>112</v>
      </c>
      <c r="D32" s="232">
        <f>IF('6. Market Assessment'!$E$63="Fatal Flaw: Unviable Use","Fatal Flaw: Unviable Use","")</f>
      </c>
      <c r="E32" s="69"/>
    </row>
    <row r="33" spans="1:5" ht="12.75">
      <c r="A33" s="53" t="s">
        <v>28</v>
      </c>
      <c r="B33" s="134"/>
      <c r="C33" s="53" t="s">
        <v>112</v>
      </c>
      <c r="D33" s="232">
        <f>IF('6. Market Assessment'!$E$75="Fatal Flaw: Unviable Use","Fatal Flaw: Unviable Use","")</f>
      </c>
      <c r="E33" s="69"/>
    </row>
    <row r="34" spans="1:5" ht="12.75">
      <c r="A34" s="53" t="s">
        <v>162</v>
      </c>
      <c r="B34" s="134"/>
      <c r="C34" s="53" t="s">
        <v>112</v>
      </c>
      <c r="D34" s="232">
        <f>IF('6. Market Assessment'!$E$87="Fatal Flaw: Unviable Use","Fatal Flaw: Unviable Use","")</f>
      </c>
      <c r="E34" s="69"/>
    </row>
    <row r="35" spans="2:5" ht="12.75">
      <c r="B35" s="53"/>
      <c r="C35" s="53"/>
      <c r="D35" s="216"/>
      <c r="E35" s="69"/>
    </row>
    <row r="36" spans="1:5" ht="12.75">
      <c r="A36" s="170" t="s">
        <v>144</v>
      </c>
      <c r="B36" s="217" t="s">
        <v>335</v>
      </c>
      <c r="C36" s="53"/>
      <c r="D36" s="69"/>
      <c r="E36" s="69"/>
    </row>
    <row r="37" spans="1:5" ht="27" customHeight="1">
      <c r="A37" s="120" t="s">
        <v>390</v>
      </c>
      <c r="B37" s="134"/>
      <c r="C37" s="53" t="s">
        <v>340</v>
      </c>
      <c r="D37" s="69"/>
      <c r="E37" s="69"/>
    </row>
    <row r="38" spans="2:5" ht="12.75">
      <c r="B38" s="53"/>
      <c r="C38" s="69"/>
      <c r="D38" s="69"/>
      <c r="E38" s="69"/>
    </row>
    <row r="39" spans="1:5" ht="12.75">
      <c r="A39" s="54" t="s">
        <v>145</v>
      </c>
      <c r="B39" s="214"/>
      <c r="C39" s="213"/>
      <c r="D39" s="71"/>
      <c r="E39" s="71"/>
    </row>
    <row r="40" spans="1:5" ht="12.75">
      <c r="A40" s="218">
        <v>0.2</v>
      </c>
      <c r="B40" s="53" t="s">
        <v>320</v>
      </c>
      <c r="C40" s="69"/>
      <c r="D40" s="69"/>
      <c r="E40" s="69"/>
    </row>
    <row r="41" spans="1:5" ht="12.75">
      <c r="A41" s="230" t="s">
        <v>391</v>
      </c>
      <c r="B41" s="53"/>
      <c r="C41" s="69"/>
      <c r="D41" s="69"/>
      <c r="E41" s="69"/>
    </row>
    <row r="42" spans="1:5" ht="12.75">
      <c r="A42" s="230"/>
      <c r="B42" s="53"/>
      <c r="C42" s="69"/>
      <c r="D42" s="69"/>
      <c r="E42" s="69"/>
    </row>
    <row r="43" spans="1:5" ht="12.75">
      <c r="A43" s="54" t="s">
        <v>146</v>
      </c>
      <c r="B43" s="214"/>
      <c r="C43" s="213"/>
      <c r="D43" s="71"/>
      <c r="E43" s="71"/>
    </row>
    <row r="44" spans="1:5" ht="12.75">
      <c r="A44" s="53" t="s">
        <v>300</v>
      </c>
      <c r="B44" s="69">
        <v>24</v>
      </c>
      <c r="C44" s="53" t="s">
        <v>147</v>
      </c>
      <c r="D44" s="69"/>
      <c r="E44" s="69"/>
    </row>
    <row r="45" spans="1:5" ht="12.75">
      <c r="A45" s="53" t="s">
        <v>299</v>
      </c>
      <c r="B45" s="144"/>
      <c r="D45" s="69"/>
      <c r="E45" s="69"/>
    </row>
    <row r="46" spans="1:5" ht="12.75">
      <c r="A46" s="230" t="s">
        <v>392</v>
      </c>
      <c r="B46" s="53"/>
      <c r="C46" s="69"/>
      <c r="D46" s="69"/>
      <c r="E46" s="69"/>
    </row>
    <row r="47" spans="1:5" ht="12.75">
      <c r="A47" s="230"/>
      <c r="B47" s="53"/>
      <c r="C47" s="69"/>
      <c r="D47" s="69"/>
      <c r="E47" s="69"/>
    </row>
    <row r="48" spans="1:5" ht="12.75">
      <c r="A48" s="54" t="s">
        <v>54</v>
      </c>
      <c r="B48" s="214"/>
      <c r="C48" s="213"/>
      <c r="D48" s="71"/>
      <c r="E48" s="71"/>
    </row>
    <row r="49" spans="1:5" ht="12.75">
      <c r="A49" s="53" t="s">
        <v>20</v>
      </c>
      <c r="B49" s="134"/>
      <c r="C49" s="53" t="s">
        <v>331</v>
      </c>
      <c r="D49" s="232">
        <f>IF('6. Market Assessment'!$E$9="Fatal Flaw: Unviable Use","Fatal Flaw: Unviable Use","")</f>
      </c>
      <c r="E49" s="69"/>
    </row>
    <row r="50" spans="1:5" ht="12.75">
      <c r="A50" s="53" t="s">
        <v>292</v>
      </c>
      <c r="B50" s="134"/>
      <c r="C50" s="53" t="s">
        <v>343</v>
      </c>
      <c r="D50" s="232">
        <f>IF('6. Market Assessment'!$E$31="Fatal Flaw: Unviable Use","Fatal Flaw: Unviable Use","")</f>
      </c>
      <c r="E50" s="69"/>
    </row>
    <row r="51" spans="1:5" ht="12.75">
      <c r="A51" s="53" t="s">
        <v>22</v>
      </c>
      <c r="B51" s="134"/>
      <c r="C51" s="53" t="s">
        <v>343</v>
      </c>
      <c r="D51" s="232">
        <f>IF('6. Market Assessment'!$E$43="Fatal Flaw: Unviable Use","Fatal Flaw: Unviable Use","")</f>
      </c>
      <c r="E51" s="69"/>
    </row>
    <row r="52" spans="1:5" ht="12.75">
      <c r="A52" s="53" t="s">
        <v>0</v>
      </c>
      <c r="B52" s="134"/>
      <c r="C52" s="53" t="s">
        <v>343</v>
      </c>
      <c r="D52" s="232">
        <f>IF('6. Market Assessment'!$E$63="Fatal Flaw: Unviable Use","Fatal Flaw: Unviable Use","")</f>
      </c>
      <c r="E52" s="69"/>
    </row>
    <row r="53" spans="1:5" ht="12.75">
      <c r="A53" s="53" t="s">
        <v>28</v>
      </c>
      <c r="B53" s="134"/>
      <c r="C53" s="53" t="s">
        <v>343</v>
      </c>
      <c r="D53" s="232">
        <f>IF('6. Market Assessment'!$E$75="Fatal Flaw: Unviable Use","Fatal Flaw: Unviable Use","")</f>
      </c>
      <c r="E53" s="69"/>
    </row>
    <row r="54" spans="1:5" ht="12.75">
      <c r="A54" s="53" t="s">
        <v>162</v>
      </c>
      <c r="B54" s="134"/>
      <c r="C54" s="53" t="s">
        <v>321</v>
      </c>
      <c r="D54" s="232">
        <f>IF('6. Market Assessment'!$E$87="Fatal Flaw: Unviable Use","Fatal Flaw: Unviable Use","")</f>
      </c>
      <c r="E54" s="69"/>
    </row>
    <row r="55" spans="2:5" ht="12.75">
      <c r="B55" s="53"/>
      <c r="C55" s="69"/>
      <c r="D55" s="69"/>
      <c r="E55" s="69"/>
    </row>
    <row r="56" spans="1:5" ht="12.75">
      <c r="A56" s="54" t="s">
        <v>149</v>
      </c>
      <c r="B56" s="214"/>
      <c r="C56" s="213"/>
      <c r="D56" s="69"/>
      <c r="E56" s="69"/>
    </row>
    <row r="57" spans="1:5" ht="12.75">
      <c r="A57" s="53" t="s">
        <v>20</v>
      </c>
      <c r="B57" s="133"/>
      <c r="D57" s="232">
        <f>IF('6. Market Assessment'!$E$9="Fatal Flaw: Unviable Use","Fatal Flaw: Unviable Use","")</f>
      </c>
      <c r="E57" s="69"/>
    </row>
    <row r="58" spans="1:5" ht="12.75">
      <c r="A58" s="53" t="s">
        <v>292</v>
      </c>
      <c r="B58" s="133"/>
      <c r="D58" s="232">
        <f>IF('6. Market Assessment'!$E$31="Fatal Flaw: Unviable Use","Fatal Flaw: Unviable Use","")</f>
      </c>
      <c r="E58" s="69"/>
    </row>
    <row r="59" spans="1:5" ht="12.75">
      <c r="A59" s="53" t="s">
        <v>22</v>
      </c>
      <c r="B59" s="133"/>
      <c r="D59" s="232">
        <f>IF('6. Market Assessment'!$E$43="Fatal Flaw: Unviable Use","Fatal Flaw: Unviable Use","")</f>
      </c>
      <c r="E59" s="69"/>
    </row>
    <row r="60" spans="1:5" ht="12.75">
      <c r="A60" s="53" t="s">
        <v>0</v>
      </c>
      <c r="B60" s="133"/>
      <c r="D60" s="232">
        <f>IF('6. Market Assessment'!$E$63="Fatal Flaw: Unviable Use","Fatal Flaw: Unviable Use","")</f>
      </c>
      <c r="E60" s="69"/>
    </row>
    <row r="61" spans="1:5" ht="12.75">
      <c r="A61" s="53" t="s">
        <v>28</v>
      </c>
      <c r="B61" s="133"/>
      <c r="D61" s="232">
        <f>IF('6. Market Assessment'!$E$75="Fatal Flaw: Unviable Use","Fatal Flaw: Unviable Use","")</f>
      </c>
      <c r="E61" s="69"/>
    </row>
    <row r="62" spans="1:5" ht="12.75">
      <c r="A62" s="53" t="s">
        <v>162</v>
      </c>
      <c r="B62" s="133"/>
      <c r="D62" s="232">
        <f>IF('6. Market Assessment'!$E$87="Fatal Flaw: Unviable Use","Fatal Flaw: Unviable Use","")</f>
      </c>
      <c r="E62" s="69"/>
    </row>
    <row r="63" spans="3:5" ht="12.75">
      <c r="C63" s="69"/>
      <c r="D63" s="69"/>
      <c r="E63" s="69"/>
    </row>
    <row r="64" spans="1:5" ht="12.75">
      <c r="A64" s="54" t="s">
        <v>150</v>
      </c>
      <c r="B64" s="214"/>
      <c r="C64" s="213"/>
      <c r="D64" s="69"/>
      <c r="E64" s="69"/>
    </row>
    <row r="65" spans="1:3" ht="12.75">
      <c r="A65" s="52" t="s">
        <v>355</v>
      </c>
      <c r="B65" s="144"/>
      <c r="C65" s="69"/>
    </row>
    <row r="66" spans="1:3" ht="12.75">
      <c r="A66" s="230" t="s">
        <v>357</v>
      </c>
      <c r="C66" s="58"/>
    </row>
    <row r="67" ht="12.75">
      <c r="C67" s="58"/>
    </row>
    <row r="68" ht="12.75">
      <c r="C68" s="58"/>
    </row>
  </sheetData>
  <sheetProtection password="CA46" sheet="1" objects="1" scenarios="1"/>
  <conditionalFormatting sqref="B29:B34 B49:B54 B57:B62">
    <cfRule type="expression" priority="3" dxfId="0" stopIfTrue="1">
      <formula>D29="Fatal Flaw: Unviable Use"</formula>
    </cfRule>
    <cfRule type="cellIs" priority="4" dxfId="94" operator="equal" stopIfTrue="1">
      <formula>0</formula>
    </cfRule>
  </conditionalFormatting>
  <conditionalFormatting sqref="B5:B7 B65 B11:B12 B45 A40 B37">
    <cfRule type="cellIs" priority="2" dxfId="94" operator="equal" stopIfTrue="1">
      <formula>0</formula>
    </cfRule>
  </conditionalFormatting>
  <conditionalFormatting sqref="B17:B18 B21:B26">
    <cfRule type="expression" priority="6" dxfId="2" stopIfTrue="1">
      <formula>$B$16="No existing buildings/structures onsite"</formula>
    </cfRule>
    <cfRule type="cellIs" priority="7" dxfId="92" operator="equal" stopIfTrue="1">
      <formula>0</formula>
    </cfRule>
  </conditionalFormatting>
  <printOptions/>
  <pageMargins left="0.75" right="0.75" top="1.25" bottom="1" header="0.5" footer="0.5"/>
  <pageSetup horizontalDpi="600" verticalDpi="600" orientation="portrait" scale="76" r:id="rId2"/>
  <headerFooter alignWithMargins="0">
    <oddHeader>&amp;L&amp;"Arial Narrow,Bold"&amp;11FOCUS WV Brownfields Mini-Grant Program 
Land Use Decision Enhancer Tool:
&amp;A, Page &amp;P of &amp;N&amp;R&amp;"Arial Narrow,Bold"Today's Date: &amp;D
&amp;"Arial Narrow,Regular"Prepared by: SRA International, Inc. and Vita Nuova, LLC</oddHeader>
    <oddFooter>&amp;L&amp;G&amp;C&amp;"Arial Narrow,Regular"This tool should not be used independently or as a primary reuse decision making tool. Reuse and
investment planning should be based on unique drivers, detailed valuation tools, and local knowledge of the site.&amp;R  &amp;G</oddFooter>
  </headerFooter>
  <legacyDrawingHF r:id="rId1"/>
</worksheet>
</file>

<file path=xl/worksheets/sheet9.xml><?xml version="1.0" encoding="utf-8"?>
<worksheet xmlns="http://schemas.openxmlformats.org/spreadsheetml/2006/main" xmlns:r="http://schemas.openxmlformats.org/officeDocument/2006/relationships">
  <sheetPr>
    <tabColor indexed="58"/>
  </sheetPr>
  <dimension ref="A1:K121"/>
  <sheetViews>
    <sheetView zoomScalePageLayoutView="0" workbookViewId="0" topLeftCell="A1">
      <pane xSplit="1" ySplit="1" topLeftCell="B2" activePane="bottomRight" state="frozen"/>
      <selection pane="topLeft" activeCell="D2" sqref="D2"/>
      <selection pane="topRight" activeCell="D2" sqref="D2"/>
      <selection pane="bottomLeft" activeCell="D2" sqref="D2"/>
      <selection pane="bottomRight" activeCell="B19" sqref="B19"/>
    </sheetView>
  </sheetViews>
  <sheetFormatPr defaultColWidth="9.140625" defaultRowHeight="12.75"/>
  <cols>
    <col min="1" max="1" width="33.7109375" style="52" customWidth="1"/>
    <col min="2" max="3" width="15.421875" style="52" customWidth="1"/>
    <col min="4" max="4" width="13.421875" style="52" customWidth="1"/>
    <col min="5" max="5" width="13.28125" style="52" customWidth="1"/>
    <col min="6" max="6" width="11.28125" style="52" customWidth="1"/>
    <col min="7" max="7" width="20.28125" style="52" bestFit="1" customWidth="1"/>
    <col min="8" max="8" width="13.7109375" style="52" customWidth="1"/>
    <col min="9" max="9" width="12.7109375" style="52" bestFit="1" customWidth="1"/>
    <col min="10" max="10" width="13.28125" style="52" customWidth="1"/>
    <col min="11" max="11" width="14.00390625" style="52" customWidth="1"/>
    <col min="12" max="16384" width="9.140625" style="52" customWidth="1"/>
  </cols>
  <sheetData>
    <row r="1" spans="1:6" s="60" customFormat="1" ht="13.5">
      <c r="A1" s="273" t="s">
        <v>430</v>
      </c>
      <c r="B1" s="274"/>
      <c r="C1" s="93"/>
      <c r="D1" s="93"/>
      <c r="E1" s="93"/>
      <c r="F1" s="93"/>
    </row>
    <row r="2" spans="1:6" s="60" customFormat="1" ht="16.5">
      <c r="A2" s="276" t="str">
        <f>IF('1. Property'!B4="","",'1. Property'!B4)&amp;": Pro Forma Output Page 1"</f>
        <v>: Pro Forma Output Page 1</v>
      </c>
      <c r="B2" s="282"/>
      <c r="C2" s="282"/>
      <c r="D2" s="282"/>
      <c r="E2" s="282"/>
      <c r="F2" s="146"/>
    </row>
    <row r="3" spans="1:6" ht="12.75">
      <c r="A3" s="147" t="s">
        <v>140</v>
      </c>
      <c r="B3" s="148"/>
      <c r="C3" s="148"/>
      <c r="D3" s="148"/>
      <c r="E3" s="149"/>
      <c r="F3" s="150">
        <f>B4</f>
        <v>0</v>
      </c>
    </row>
    <row r="4" spans="1:8" ht="12.75">
      <c r="A4" s="52" t="s">
        <v>296</v>
      </c>
      <c r="B4" s="134"/>
      <c r="F4" s="152"/>
      <c r="H4" s="152"/>
    </row>
    <row r="5" spans="1:8" ht="12.75">
      <c r="A5" s="61"/>
      <c r="B5" s="58"/>
      <c r="H5" s="152"/>
    </row>
    <row r="6" spans="1:8" ht="12.75">
      <c r="A6" s="153" t="s">
        <v>151</v>
      </c>
      <c r="B6" s="154"/>
      <c r="C6" s="154"/>
      <c r="D6" s="154"/>
      <c r="E6" s="149"/>
      <c r="F6" s="150">
        <f>B15</f>
        <v>0</v>
      </c>
      <c r="H6" s="155"/>
    </row>
    <row r="7" spans="1:10" ht="12.75">
      <c r="A7" s="305" t="s">
        <v>450</v>
      </c>
      <c r="B7" s="306">
        <f>'A. Pro Forma Data Inputs'!B4</f>
        <v>0</v>
      </c>
      <c r="C7" s="53"/>
      <c r="D7" s="53"/>
      <c r="F7" s="152"/>
      <c r="H7" s="152"/>
      <c r="I7" s="156"/>
      <c r="J7" s="61"/>
    </row>
    <row r="8" spans="1:10" ht="12.75">
      <c r="A8" s="53" t="s">
        <v>447</v>
      </c>
      <c r="B8" s="151">
        <f>'A. Pro Forma Data Inputs'!B5</f>
        <v>0</v>
      </c>
      <c r="C8" s="53"/>
      <c r="F8" s="152"/>
      <c r="H8" s="152"/>
      <c r="I8" s="156"/>
      <c r="J8" s="61"/>
    </row>
    <row r="9" spans="1:10" ht="12.75">
      <c r="A9" s="69" t="s">
        <v>448</v>
      </c>
      <c r="B9" s="151">
        <f>'A. Pro Forma Data Inputs'!B6</f>
        <v>0</v>
      </c>
      <c r="C9" s="53"/>
      <c r="D9" s="53"/>
      <c r="F9" s="152"/>
      <c r="H9" s="152"/>
      <c r="I9" s="156"/>
      <c r="J9" s="61"/>
    </row>
    <row r="10" spans="1:10" ht="12.75">
      <c r="A10" s="85" t="s">
        <v>449</v>
      </c>
      <c r="B10" s="175">
        <f>'A. Pro Forma Data Inputs'!B7</f>
        <v>0</v>
      </c>
      <c r="C10" s="53"/>
      <c r="D10" s="53"/>
      <c r="F10" s="152"/>
      <c r="H10" s="152"/>
      <c r="I10" s="156"/>
      <c r="J10" s="61"/>
    </row>
    <row r="11" spans="1:10" ht="12.75">
      <c r="A11" s="62" t="s">
        <v>345</v>
      </c>
      <c r="B11" s="157">
        <f>SUM(B7:B10)</f>
        <v>0</v>
      </c>
      <c r="F11" s="152"/>
      <c r="H11" s="152"/>
      <c r="I11" s="156"/>
      <c r="J11" s="61"/>
    </row>
    <row r="12" spans="1:10" ht="12.75">
      <c r="A12" s="62"/>
      <c r="B12" s="157"/>
      <c r="F12" s="152"/>
      <c r="H12" s="152"/>
      <c r="I12" s="156"/>
      <c r="J12" s="61"/>
    </row>
    <row r="13" spans="1:10" ht="25.5">
      <c r="A13" s="211" t="s">
        <v>344</v>
      </c>
      <c r="B13" s="134"/>
      <c r="F13" s="152"/>
      <c r="H13" s="152"/>
      <c r="I13" s="156"/>
      <c r="J13" s="61"/>
    </row>
    <row r="14" spans="1:10" ht="12.75">
      <c r="A14" s="62"/>
      <c r="B14" s="157"/>
      <c r="F14" s="152"/>
      <c r="H14" s="152"/>
      <c r="I14" s="156"/>
      <c r="J14" s="61"/>
    </row>
    <row r="15" spans="1:10" ht="12.75">
      <c r="A15" s="62" t="s">
        <v>346</v>
      </c>
      <c r="B15" s="157">
        <f>IF(B11-B13&lt;0,"Incentives are greater than cost of remediation; check data entry",B11-B13)</f>
        <v>0</v>
      </c>
      <c r="F15" s="152"/>
      <c r="H15" s="152"/>
      <c r="I15" s="156"/>
      <c r="J15" s="61"/>
    </row>
    <row r="16" spans="1:10" ht="12.75">
      <c r="A16" s="53"/>
      <c r="B16" s="157"/>
      <c r="C16" s="53"/>
      <c r="D16" s="53"/>
      <c r="F16" s="152"/>
      <c r="H16" s="152"/>
      <c r="I16" s="156"/>
      <c r="J16" s="61"/>
    </row>
    <row r="17" spans="1:9" ht="12.75">
      <c r="A17" s="54" t="s">
        <v>342</v>
      </c>
      <c r="B17" s="148"/>
      <c r="C17" s="148"/>
      <c r="D17" s="148"/>
      <c r="E17" s="149"/>
      <c r="F17" s="150">
        <f>E38+E55</f>
        <v>0</v>
      </c>
      <c r="H17" s="152"/>
      <c r="I17" s="152"/>
    </row>
    <row r="18" spans="1:9" ht="12.75">
      <c r="A18" s="158" t="s">
        <v>337</v>
      </c>
      <c r="B18" s="233">
        <f>IF('1. Property'!B61="No","No existing buildings/structures onsite","")</f>
      </c>
      <c r="C18" s="234"/>
      <c r="D18" s="158" t="s">
        <v>383</v>
      </c>
      <c r="G18" s="152"/>
      <c r="H18" s="152"/>
      <c r="I18" s="152"/>
    </row>
    <row r="19" spans="1:9" ht="12.75">
      <c r="A19" s="61" t="s">
        <v>372</v>
      </c>
      <c r="B19" s="159">
        <f>('1. Property'!C65)</f>
        <v>0</v>
      </c>
      <c r="C19" s="52" t="s">
        <v>111</v>
      </c>
      <c r="D19" s="52" t="s">
        <v>144</v>
      </c>
      <c r="E19" s="159">
        <f>'1. Property'!K76</f>
        <v>0</v>
      </c>
      <c r="F19" s="52" t="s">
        <v>111</v>
      </c>
      <c r="G19" s="152"/>
      <c r="H19" s="152"/>
      <c r="I19" s="152"/>
    </row>
    <row r="20" spans="1:9" ht="12.75">
      <c r="A20" s="61" t="s">
        <v>373</v>
      </c>
      <c r="B20" s="159">
        <f>('1. Property'!C66)</f>
        <v>0</v>
      </c>
      <c r="C20" s="52" t="s">
        <v>111</v>
      </c>
      <c r="D20" s="52" t="s">
        <v>384</v>
      </c>
      <c r="E20" s="231">
        <f>'1. Property'!J76</f>
        <v>0</v>
      </c>
      <c r="F20" s="52" t="s">
        <v>385</v>
      </c>
      <c r="G20" s="152"/>
      <c r="H20" s="152"/>
      <c r="I20" s="152"/>
    </row>
    <row r="21" spans="1:9" ht="12.75">
      <c r="A21" s="61" t="s">
        <v>374</v>
      </c>
      <c r="B21" s="159">
        <f>('1. Property'!C67)</f>
        <v>0</v>
      </c>
      <c r="C21" s="52" t="s">
        <v>111</v>
      </c>
      <c r="G21" s="152"/>
      <c r="H21" s="152"/>
      <c r="I21" s="152"/>
    </row>
    <row r="22" spans="1:9" ht="12.75">
      <c r="A22" s="61" t="s">
        <v>375</v>
      </c>
      <c r="B22" s="159">
        <f>('1. Property'!C68)</f>
        <v>0</v>
      </c>
      <c r="C22" s="52" t="s">
        <v>111</v>
      </c>
      <c r="G22" s="152"/>
      <c r="H22" s="152"/>
      <c r="I22" s="152"/>
    </row>
    <row r="23" spans="1:9" ht="12.75">
      <c r="A23" s="61" t="s">
        <v>376</v>
      </c>
      <c r="B23" s="159">
        <f>('1. Property'!C69)</f>
        <v>0</v>
      </c>
      <c r="C23" s="52" t="s">
        <v>111</v>
      </c>
      <c r="G23" s="152"/>
      <c r="H23" s="152"/>
      <c r="I23" s="152"/>
    </row>
    <row r="24" spans="1:9" ht="12.75">
      <c r="A24" s="61" t="s">
        <v>377</v>
      </c>
      <c r="B24" s="159">
        <f>('1. Property'!C70)</f>
        <v>0</v>
      </c>
      <c r="C24" s="52" t="s">
        <v>111</v>
      </c>
      <c r="G24" s="152"/>
      <c r="H24" s="152"/>
      <c r="I24" s="152"/>
    </row>
    <row r="25" spans="1:9" ht="12.75">
      <c r="A25" s="61" t="s">
        <v>378</v>
      </c>
      <c r="B25" s="159">
        <f>('1. Property'!C71)</f>
        <v>0</v>
      </c>
      <c r="C25" s="52" t="s">
        <v>111</v>
      </c>
      <c r="G25" s="152"/>
      <c r="H25" s="152"/>
      <c r="I25" s="152"/>
    </row>
    <row r="26" spans="1:9" ht="12.75">
      <c r="A26" s="61" t="s">
        <v>379</v>
      </c>
      <c r="B26" s="159">
        <f>('1. Property'!C72)</f>
        <v>0</v>
      </c>
      <c r="C26" s="52" t="s">
        <v>111</v>
      </c>
      <c r="G26" s="152"/>
      <c r="H26" s="152"/>
      <c r="I26" s="152"/>
    </row>
    <row r="27" spans="1:9" ht="12.75">
      <c r="A27" s="61" t="s">
        <v>380</v>
      </c>
      <c r="B27" s="159">
        <f>('1. Property'!C73)</f>
        <v>0</v>
      </c>
      <c r="C27" s="52" t="s">
        <v>111</v>
      </c>
      <c r="G27" s="152"/>
      <c r="H27" s="152"/>
      <c r="I27" s="152"/>
    </row>
    <row r="28" spans="1:9" ht="12.75">
      <c r="A28" s="160" t="s">
        <v>381</v>
      </c>
      <c r="B28" s="161">
        <f>('1. Property'!C74)</f>
        <v>0</v>
      </c>
      <c r="C28" s="162" t="s">
        <v>111</v>
      </c>
      <c r="G28" s="152"/>
      <c r="H28" s="152"/>
      <c r="I28" s="152"/>
    </row>
    <row r="29" spans="1:9" ht="12.75">
      <c r="A29" s="61" t="s">
        <v>382</v>
      </c>
      <c r="B29" s="159">
        <f>SUM(B19:B28)</f>
        <v>0</v>
      </c>
      <c r="C29" s="52" t="s">
        <v>111</v>
      </c>
      <c r="G29" s="152"/>
      <c r="H29" s="152"/>
      <c r="I29" s="152"/>
    </row>
    <row r="30" spans="1:9" ht="12.75">
      <c r="A30" s="158"/>
      <c r="G30" s="152"/>
      <c r="H30" s="152"/>
      <c r="I30" s="152"/>
    </row>
    <row r="31" spans="1:9" ht="25.5">
      <c r="A31" s="163" t="s">
        <v>338</v>
      </c>
      <c r="B31" s="164" t="s">
        <v>303</v>
      </c>
      <c r="C31" s="165" t="s">
        <v>301</v>
      </c>
      <c r="D31" s="164" t="s">
        <v>336</v>
      </c>
      <c r="E31" s="165" t="s">
        <v>322</v>
      </c>
      <c r="H31" s="152"/>
      <c r="I31" s="152"/>
    </row>
    <row r="32" spans="1:9" ht="12.75">
      <c r="A32" s="61" t="str">
        <f>"Renovate for "&amp;'A. Pro Forma Data Inputs'!A21</f>
        <v>Renovate for Residential</v>
      </c>
      <c r="B32" s="134"/>
      <c r="C32" s="151">
        <f>'A. Pro Forma Data Inputs'!B21</f>
        <v>0</v>
      </c>
      <c r="D32" s="134"/>
      <c r="E32" s="151">
        <f aca="true" t="shared" si="0" ref="E32:E37">B32*C32</f>
        <v>0</v>
      </c>
      <c r="H32" s="152"/>
      <c r="I32" s="152"/>
    </row>
    <row r="33" spans="1:9" ht="12.75">
      <c r="A33" s="61" t="str">
        <f>"Renovate for "&amp;'A. Pro Forma Data Inputs'!A22</f>
        <v>Renovate for Commercial (Professional/Office)</v>
      </c>
      <c r="B33" s="134"/>
      <c r="C33" s="151">
        <f>'A. Pro Forma Data Inputs'!B22</f>
        <v>0</v>
      </c>
      <c r="E33" s="151">
        <f t="shared" si="0"/>
        <v>0</v>
      </c>
      <c r="H33" s="152"/>
      <c r="I33" s="152"/>
    </row>
    <row r="34" spans="1:9" ht="12.75">
      <c r="A34" s="61" t="str">
        <f>"Renovate for "&amp;'A. Pro Forma Data Inputs'!A23</f>
        <v>Renovate for Retail</v>
      </c>
      <c r="B34" s="134"/>
      <c r="C34" s="151">
        <f>'A. Pro Forma Data Inputs'!B23</f>
        <v>0</v>
      </c>
      <c r="E34" s="151">
        <f t="shared" si="0"/>
        <v>0</v>
      </c>
      <c r="H34" s="152"/>
      <c r="I34" s="152"/>
    </row>
    <row r="35" spans="1:9" ht="12.75">
      <c r="A35" s="61" t="str">
        <f>"Renovate for "&amp;'A. Pro Forma Data Inputs'!A24</f>
        <v>Renovate for Industrial</v>
      </c>
      <c r="B35" s="134"/>
      <c r="C35" s="151">
        <f>'A. Pro Forma Data Inputs'!B24</f>
        <v>0</v>
      </c>
      <c r="E35" s="151">
        <f t="shared" si="0"/>
        <v>0</v>
      </c>
      <c r="H35" s="152"/>
      <c r="I35" s="152"/>
    </row>
    <row r="36" spans="1:9" ht="12.75">
      <c r="A36" s="61" t="str">
        <f>"Renovate for "&amp;'A. Pro Forma Data Inputs'!A25</f>
        <v>Renovate for Warehouse</v>
      </c>
      <c r="B36" s="134"/>
      <c r="C36" s="151">
        <f>'A. Pro Forma Data Inputs'!B25</f>
        <v>0</v>
      </c>
      <c r="E36" s="151">
        <f t="shared" si="0"/>
        <v>0</v>
      </c>
      <c r="H36" s="152"/>
      <c r="I36" s="152"/>
    </row>
    <row r="37" spans="1:9" ht="12.75">
      <c r="A37" s="61" t="str">
        <f>"Renovate for "&amp;'A. Pro Forma Data Inputs'!A26</f>
        <v>Renovate for Hotel/Hospitality</v>
      </c>
      <c r="B37" s="134"/>
      <c r="C37" s="151">
        <f>'A. Pro Forma Data Inputs'!B26</f>
        <v>0</v>
      </c>
      <c r="D37" s="134"/>
      <c r="E37" s="151">
        <f t="shared" si="0"/>
        <v>0</v>
      </c>
      <c r="H37" s="152"/>
      <c r="I37" s="152"/>
    </row>
    <row r="38" spans="1:9" ht="12.75">
      <c r="A38" s="80"/>
      <c r="B38" s="166"/>
      <c r="C38" s="166"/>
      <c r="D38" s="167" t="s">
        <v>339</v>
      </c>
      <c r="E38" s="168">
        <f>SUM(E32:E37)</f>
        <v>0</v>
      </c>
      <c r="H38" s="152"/>
      <c r="I38" s="152"/>
    </row>
    <row r="39" spans="1:9" ht="12.75">
      <c r="A39" s="80"/>
      <c r="B39" s="169">
        <f>IF(SUM(B32:B37)&gt;B29,"Proposed renovation SF exceeds SF of existing buildings. Check data entry.","")</f>
      </c>
      <c r="C39" s="80"/>
      <c r="D39" s="80"/>
      <c r="E39" s="80"/>
      <c r="H39" s="152"/>
      <c r="I39" s="152"/>
    </row>
    <row r="40" spans="1:9" ht="12.75">
      <c r="A40" s="170"/>
      <c r="G40" s="152"/>
      <c r="H40" s="152"/>
      <c r="I40" s="152"/>
    </row>
    <row r="41" spans="1:9" ht="25.5">
      <c r="A41" s="171" t="s">
        <v>143</v>
      </c>
      <c r="B41" s="164" t="s">
        <v>303</v>
      </c>
      <c r="C41" s="165" t="s">
        <v>301</v>
      </c>
      <c r="D41" s="164" t="s">
        <v>336</v>
      </c>
      <c r="E41" s="165" t="s">
        <v>322</v>
      </c>
      <c r="I41" s="152"/>
    </row>
    <row r="42" spans="1:9" ht="12.75">
      <c r="A42" s="61" t="s">
        <v>370</v>
      </c>
      <c r="B42" s="134"/>
      <c r="C42" s="151">
        <f>'A. Pro Forma Data Inputs'!B17</f>
        <v>0</v>
      </c>
      <c r="E42" s="151">
        <f>B42*C42</f>
        <v>0</v>
      </c>
      <c r="I42" s="152"/>
    </row>
    <row r="43" spans="1:9" ht="12.75">
      <c r="A43" s="61" t="s">
        <v>371</v>
      </c>
      <c r="B43" s="134"/>
      <c r="C43" s="151">
        <f>'A. Pro Forma Data Inputs'!B18</f>
        <v>0</v>
      </c>
      <c r="E43" s="151">
        <f>B43*C43</f>
        <v>0</v>
      </c>
      <c r="I43" s="152"/>
    </row>
    <row r="44" spans="1:9" ht="12.75">
      <c r="A44" s="61"/>
      <c r="B44" s="61"/>
      <c r="C44" s="151"/>
      <c r="E44" s="151"/>
      <c r="I44" s="152"/>
    </row>
    <row r="45" spans="1:9" ht="12.75">
      <c r="A45" s="61" t="str">
        <f>"Construct New "&amp;'A. Pro Forma Data Inputs'!A29</f>
        <v>Construct New Residential</v>
      </c>
      <c r="B45" s="131"/>
      <c r="C45" s="151">
        <f>'A. Pro Forma Data Inputs'!B29</f>
        <v>0</v>
      </c>
      <c r="D45" s="131"/>
      <c r="E45" s="151">
        <f aca="true" t="shared" si="1" ref="E45:E50">B45*C45</f>
        <v>0</v>
      </c>
      <c r="F45" s="232">
        <f>IF('6. Market Assessment'!$E$9="Fatal Flaw: Unviable Use","Fatal Flaw: Unviable Use","")</f>
      </c>
      <c r="I45" s="152"/>
    </row>
    <row r="46" spans="1:9" ht="12.75">
      <c r="A46" s="61" t="str">
        <f>"Construct New "&amp;'A. Pro Forma Data Inputs'!A30</f>
        <v>Construct New Commercial (Professional/Office)</v>
      </c>
      <c r="B46" s="131"/>
      <c r="C46" s="151">
        <f>'A. Pro Forma Data Inputs'!B30</f>
        <v>0</v>
      </c>
      <c r="E46" s="151">
        <f t="shared" si="1"/>
        <v>0</v>
      </c>
      <c r="F46" s="232">
        <f>IF('6. Market Assessment'!$E$31="Fatal Flaw: Unviable Use","Fatal Flaw: Unviable Use","")</f>
      </c>
      <c r="I46" s="152"/>
    </row>
    <row r="47" spans="1:9" ht="12.75">
      <c r="A47" s="61" t="str">
        <f>"Construct New "&amp;'A. Pro Forma Data Inputs'!A31</f>
        <v>Construct New Retail</v>
      </c>
      <c r="B47" s="131"/>
      <c r="C47" s="151">
        <f>'A. Pro Forma Data Inputs'!B31</f>
        <v>0</v>
      </c>
      <c r="E47" s="151">
        <f t="shared" si="1"/>
        <v>0</v>
      </c>
      <c r="F47" s="232">
        <f>IF('6. Market Assessment'!$E$43="Fatal Flaw: Unviable Use","Fatal Flaw: Unviable Use","")</f>
      </c>
      <c r="I47" s="152"/>
    </row>
    <row r="48" spans="1:9" ht="12.75">
      <c r="A48" s="61" t="str">
        <f>"Construct New "&amp;'A. Pro Forma Data Inputs'!A32</f>
        <v>Construct New Industrial</v>
      </c>
      <c r="B48" s="131"/>
      <c r="C48" s="151">
        <f>'A. Pro Forma Data Inputs'!B32</f>
        <v>0</v>
      </c>
      <c r="E48" s="151">
        <f t="shared" si="1"/>
        <v>0</v>
      </c>
      <c r="F48" s="232">
        <f>IF('6. Market Assessment'!$E$63="Fatal Flaw: Unviable Use","Fatal Flaw: Unviable Use","")</f>
      </c>
      <c r="I48" s="152"/>
    </row>
    <row r="49" spans="1:9" ht="12.75">
      <c r="A49" s="61" t="str">
        <f>"Construct New "&amp;'A. Pro Forma Data Inputs'!A33</f>
        <v>Construct New Warehouse</v>
      </c>
      <c r="B49" s="131"/>
      <c r="C49" s="151">
        <f>'A. Pro Forma Data Inputs'!B33</f>
        <v>0</v>
      </c>
      <c r="E49" s="151">
        <f t="shared" si="1"/>
        <v>0</v>
      </c>
      <c r="F49" s="232">
        <f>IF('6. Market Assessment'!$E$75="Fatal Flaw: Unviable Use","Fatal Flaw: Unviable Use","")</f>
      </c>
      <c r="I49" s="152"/>
    </row>
    <row r="50" spans="1:9" ht="12.75">
      <c r="A50" s="61" t="str">
        <f>"Construct New "&amp;'A. Pro Forma Data Inputs'!A34</f>
        <v>Construct New Hotel/Hospitality</v>
      </c>
      <c r="B50" s="131"/>
      <c r="C50" s="151">
        <f>'A. Pro Forma Data Inputs'!B34</f>
        <v>0</v>
      </c>
      <c r="D50" s="131"/>
      <c r="E50" s="151">
        <f t="shared" si="1"/>
        <v>0</v>
      </c>
      <c r="F50" s="232">
        <f>IF('6. Market Assessment'!$E$87="Fatal Flaw: Unviable Use","Fatal Flaw: Unviable Use","")</f>
      </c>
      <c r="I50" s="152"/>
    </row>
    <row r="51" spans="1:9" ht="12.75">
      <c r="A51" s="61"/>
      <c r="B51" s="67"/>
      <c r="E51" s="151"/>
      <c r="F51" s="151"/>
      <c r="I51" s="152"/>
    </row>
    <row r="52" spans="1:9" ht="12.75">
      <c r="A52" s="171" t="s">
        <v>144</v>
      </c>
      <c r="B52" s="67"/>
      <c r="E52" s="151"/>
      <c r="F52" s="151"/>
      <c r="I52" s="152"/>
    </row>
    <row r="53" spans="1:9" ht="25.5">
      <c r="A53" s="61"/>
      <c r="B53" s="172" t="s">
        <v>302</v>
      </c>
      <c r="C53" s="173" t="s">
        <v>335</v>
      </c>
      <c r="E53" s="174" t="s">
        <v>322</v>
      </c>
      <c r="H53" s="151"/>
      <c r="I53" s="152"/>
    </row>
    <row r="54" spans="1:9" ht="12.75">
      <c r="A54" s="160" t="s">
        <v>152</v>
      </c>
      <c r="B54" s="145"/>
      <c r="C54" s="175">
        <f>'A. Pro Forma Data Inputs'!B37</f>
        <v>0</v>
      </c>
      <c r="D54" s="162"/>
      <c r="E54" s="175">
        <f>B54*C54</f>
        <v>0</v>
      </c>
      <c r="I54" s="152"/>
    </row>
    <row r="55" spans="1:9" ht="12.75">
      <c r="A55" s="80"/>
      <c r="B55" s="176"/>
      <c r="C55" s="176"/>
      <c r="D55" s="167" t="s">
        <v>304</v>
      </c>
      <c r="E55" s="177">
        <f>SUM(E45:E54)</f>
        <v>0</v>
      </c>
      <c r="I55" s="152"/>
    </row>
    <row r="56" spans="8:9" ht="12.75">
      <c r="H56" s="152"/>
      <c r="I56" s="152"/>
    </row>
    <row r="57" spans="1:9" ht="16.5">
      <c r="A57" s="276" t="str">
        <f>IF('1. Property'!B4="","",'1. Property'!B4)&amp;": Pro Forma Output Page 2"</f>
        <v>: Pro Forma Output Page 2</v>
      </c>
      <c r="B57" s="283"/>
      <c r="C57" s="283"/>
      <c r="D57" s="282"/>
      <c r="E57" s="282"/>
      <c r="F57" s="146"/>
      <c r="H57" s="152"/>
      <c r="I57" s="152"/>
    </row>
    <row r="58" spans="1:6" ht="12.75">
      <c r="A58" s="153" t="s">
        <v>145</v>
      </c>
      <c r="B58" s="154"/>
      <c r="C58" s="148"/>
      <c r="D58" s="148"/>
      <c r="E58" s="149"/>
      <c r="F58" s="150">
        <f>(F17+F6)*B59</f>
        <v>0</v>
      </c>
    </row>
    <row r="59" spans="1:10" ht="12.75">
      <c r="A59" s="61" t="s">
        <v>305</v>
      </c>
      <c r="B59" s="178">
        <f>'A. Pro Forma Data Inputs'!A40</f>
        <v>0.2</v>
      </c>
      <c r="E59" s="58"/>
      <c r="I59" s="179"/>
      <c r="J59" s="61"/>
    </row>
    <row r="60" ht="12.75">
      <c r="J60" s="61"/>
    </row>
    <row r="61" spans="1:10" ht="12.75">
      <c r="A61" s="153" t="s">
        <v>146</v>
      </c>
      <c r="B61" s="148"/>
      <c r="C61" s="149"/>
      <c r="D61" s="149"/>
      <c r="E61" s="148"/>
      <c r="F61" s="150">
        <f>SUM(C64+C68)</f>
        <v>0</v>
      </c>
      <c r="J61" s="61"/>
    </row>
    <row r="62" spans="1:10" ht="12.75">
      <c r="A62" s="61" t="s">
        <v>153</v>
      </c>
      <c r="B62" s="151">
        <f>F3</f>
        <v>0</v>
      </c>
      <c r="J62" s="61"/>
    </row>
    <row r="63" spans="1:10" ht="12.75">
      <c r="A63" s="61" t="s">
        <v>154</v>
      </c>
      <c r="B63" s="58">
        <f>VALUE('A. Pro Forma Data Inputs'!B44)</f>
        <v>24</v>
      </c>
      <c r="J63" s="61"/>
    </row>
    <row r="64" spans="1:10" ht="12.75">
      <c r="A64" s="61" t="s">
        <v>148</v>
      </c>
      <c r="B64" s="180">
        <f>VALUE('A. Pro Forma Data Inputs'!B45)</f>
        <v>0</v>
      </c>
      <c r="C64" s="152">
        <f>(B62*(B64/12))*B63</f>
        <v>0</v>
      </c>
      <c r="D64" s="152" t="s">
        <v>393</v>
      </c>
      <c r="F64" s="152"/>
      <c r="G64" s="58"/>
      <c r="J64" s="61"/>
    </row>
    <row r="65" spans="1:10" ht="12.75">
      <c r="A65" s="61"/>
      <c r="G65" s="180"/>
      <c r="J65" s="61"/>
    </row>
    <row r="66" spans="1:10" ht="12.75">
      <c r="A66" s="61" t="s">
        <v>323</v>
      </c>
      <c r="B66" s="151">
        <f>F58+F17+F6</f>
        <v>0</v>
      </c>
      <c r="C66" s="58"/>
      <c r="D66" s="58"/>
      <c r="F66" s="58"/>
      <c r="J66" s="61"/>
    </row>
    <row r="67" spans="1:10" ht="12.75">
      <c r="A67" s="61" t="s">
        <v>154</v>
      </c>
      <c r="B67" s="58">
        <f>VALUE('A. Pro Forma Data Inputs'!B44)</f>
        <v>24</v>
      </c>
      <c r="C67" s="180"/>
      <c r="D67" s="180"/>
      <c r="F67" s="180"/>
      <c r="J67" s="61"/>
    </row>
    <row r="68" spans="1:10" ht="12.75">
      <c r="A68" s="61" t="s">
        <v>148</v>
      </c>
      <c r="B68" s="181">
        <f>VALUE('A. Pro Forma Data Inputs'!B45)</f>
        <v>0</v>
      </c>
      <c r="C68" s="152">
        <f>(B66*(B68/12))*B67</f>
        <v>0</v>
      </c>
      <c r="D68" s="152" t="s">
        <v>393</v>
      </c>
      <c r="F68" s="152"/>
      <c r="J68" s="61"/>
    </row>
    <row r="69" ht="12.75">
      <c r="J69" s="61"/>
    </row>
    <row r="70" spans="1:10" s="185" customFormat="1" ht="15.75">
      <c r="A70" s="182" t="s">
        <v>306</v>
      </c>
      <c r="B70" s="183"/>
      <c r="C70" s="183"/>
      <c r="D70" s="183"/>
      <c r="E70" s="183"/>
      <c r="F70" s="184">
        <f>F3+F6+F17+F58+F61</f>
        <v>0</v>
      </c>
      <c r="J70" s="186"/>
    </row>
    <row r="71" ht="12.75">
      <c r="J71" s="61"/>
    </row>
    <row r="72" spans="10:11" ht="12.75">
      <c r="J72" s="61"/>
      <c r="K72" s="58"/>
    </row>
    <row r="73" spans="1:11" ht="12.75">
      <c r="A73" s="153" t="s">
        <v>327</v>
      </c>
      <c r="B73" s="148"/>
      <c r="C73" s="148"/>
      <c r="D73" s="148"/>
      <c r="E73" s="187"/>
      <c r="F73" s="188">
        <f>F82-F84-F85-F86</f>
        <v>0</v>
      </c>
      <c r="H73" s="60"/>
      <c r="I73" s="60"/>
      <c r="J73" s="61"/>
      <c r="K73" s="58"/>
    </row>
    <row r="74" ht="12.75">
      <c r="K74" s="58"/>
    </row>
    <row r="75" spans="1:11" ht="51">
      <c r="A75" s="158" t="s">
        <v>155</v>
      </c>
      <c r="B75" s="310" t="s">
        <v>328</v>
      </c>
      <c r="C75" s="310"/>
      <c r="D75" s="310" t="s">
        <v>54</v>
      </c>
      <c r="E75" s="310"/>
      <c r="F75" s="172" t="s">
        <v>330</v>
      </c>
      <c r="K75" s="58"/>
    </row>
    <row r="76" spans="1:11" ht="12.75">
      <c r="A76" s="61" t="str">
        <f>'A. Pro Forma Data Inputs'!A49</f>
        <v>Residential</v>
      </c>
      <c r="B76" s="159">
        <f>D32+D45</f>
        <v>0</v>
      </c>
      <c r="C76" s="52" t="s">
        <v>324</v>
      </c>
      <c r="D76" s="189">
        <f>'A. Pro Forma Data Inputs'!B49</f>
        <v>0</v>
      </c>
      <c r="E76" s="189" t="s">
        <v>329</v>
      </c>
      <c r="F76" s="152">
        <f>+B76*D76*12</f>
        <v>0</v>
      </c>
      <c r="G76" s="232">
        <f>IF('6. Market Assessment'!$E$9="Fatal Flaw: Unviable Use","Fatal Flaw: Unviable Use","")</f>
      </c>
      <c r="K76" s="58"/>
    </row>
    <row r="77" spans="1:11" ht="12.75">
      <c r="A77" s="61" t="str">
        <f>'A. Pro Forma Data Inputs'!A50</f>
        <v>Commercial (Professional/Office)</v>
      </c>
      <c r="B77" s="159">
        <f>B33+B46</f>
        <v>0</v>
      </c>
      <c r="C77" s="52" t="s">
        <v>111</v>
      </c>
      <c r="D77" s="189">
        <f>'A. Pro Forma Data Inputs'!B50</f>
        <v>0</v>
      </c>
      <c r="E77" s="189" t="s">
        <v>343</v>
      </c>
      <c r="F77" s="152">
        <f>+B77*D77</f>
        <v>0</v>
      </c>
      <c r="G77" s="232">
        <f>IF('6. Market Assessment'!$E$31="Fatal Flaw: Unviable Use","Fatal Flaw: Unviable Use","")</f>
      </c>
      <c r="K77" s="58"/>
    </row>
    <row r="78" spans="1:11" ht="12.75">
      <c r="A78" s="61" t="str">
        <f>'A. Pro Forma Data Inputs'!A51</f>
        <v>Retail</v>
      </c>
      <c r="B78" s="159">
        <f>B34+B47</f>
        <v>0</v>
      </c>
      <c r="C78" s="52" t="s">
        <v>111</v>
      </c>
      <c r="D78" s="189">
        <f>'A. Pro Forma Data Inputs'!B51</f>
        <v>0</v>
      </c>
      <c r="E78" s="189" t="s">
        <v>343</v>
      </c>
      <c r="F78" s="152">
        <f>+B78*D78</f>
        <v>0</v>
      </c>
      <c r="G78" s="232">
        <f>IF('6. Market Assessment'!$E$43="Fatal Flaw: Unviable Use","Fatal Flaw: Unviable Use","")</f>
      </c>
      <c r="K78" s="58"/>
    </row>
    <row r="79" spans="1:11" ht="12.75">
      <c r="A79" s="61" t="str">
        <f>'A. Pro Forma Data Inputs'!A52</f>
        <v>Industrial</v>
      </c>
      <c r="B79" s="159">
        <f>B35+B48</f>
        <v>0</v>
      </c>
      <c r="C79" s="52" t="s">
        <v>111</v>
      </c>
      <c r="D79" s="189">
        <f>'A. Pro Forma Data Inputs'!B52</f>
        <v>0</v>
      </c>
      <c r="E79" s="189" t="s">
        <v>343</v>
      </c>
      <c r="F79" s="152">
        <f>+B79*D79</f>
        <v>0</v>
      </c>
      <c r="G79" s="232">
        <f>IF('6. Market Assessment'!$E$63="Fatal Flaw: Unviable Use","Fatal Flaw: Unviable Use","")</f>
      </c>
      <c r="K79" s="58"/>
    </row>
    <row r="80" spans="1:11" ht="12.75">
      <c r="A80" s="61" t="str">
        <f>'A. Pro Forma Data Inputs'!A53</f>
        <v>Warehouse</v>
      </c>
      <c r="B80" s="159">
        <f>B36+B49</f>
        <v>0</v>
      </c>
      <c r="C80" s="52" t="s">
        <v>111</v>
      </c>
      <c r="D80" s="189">
        <f>'A. Pro Forma Data Inputs'!B53</f>
        <v>0</v>
      </c>
      <c r="E80" s="189" t="s">
        <v>343</v>
      </c>
      <c r="F80" s="152">
        <f>+B80*D80</f>
        <v>0</v>
      </c>
      <c r="G80" s="232">
        <f>IF('6. Market Assessment'!$E$75="Fatal Flaw: Unviable Use","Fatal Flaw: Unviable Use","")</f>
      </c>
      <c r="K80" s="58"/>
    </row>
    <row r="81" spans="1:11" ht="12.75">
      <c r="A81" s="160" t="str">
        <f>'A. Pro Forma Data Inputs'!A54</f>
        <v>Hotel/Hospitality</v>
      </c>
      <c r="B81" s="161">
        <f>D37+D50</f>
        <v>0</v>
      </c>
      <c r="C81" s="162" t="s">
        <v>325</v>
      </c>
      <c r="D81" s="190">
        <f>'A. Pro Forma Data Inputs'!B54</f>
        <v>0</v>
      </c>
      <c r="E81" s="190" t="s">
        <v>321</v>
      </c>
      <c r="F81" s="175">
        <f>+B81*D81*365</f>
        <v>0</v>
      </c>
      <c r="G81" s="232">
        <f>IF('6. Market Assessment'!$E$87="Fatal Flaw: Unviable Use","Fatal Flaw: Unviable Use","")</f>
      </c>
      <c r="K81" s="58"/>
    </row>
    <row r="82" spans="6:11" ht="12.75">
      <c r="F82" s="152">
        <f>SUM(F76:F81)</f>
        <v>0</v>
      </c>
      <c r="K82" s="58"/>
    </row>
    <row r="83" spans="6:11" ht="12.75">
      <c r="F83" s="152"/>
      <c r="K83" s="58"/>
    </row>
    <row r="84" spans="3:9" ht="12.75">
      <c r="C84" s="152"/>
      <c r="E84" s="191" t="s">
        <v>326</v>
      </c>
      <c r="F84" s="152">
        <f>('A. Pro Forma Data Inputs'!B57*'B. Pro Forma Tool'!F76)+('A. Pro Forma Data Inputs'!B58*'B. Pro Forma Tool'!F77)+('A. Pro Forma Data Inputs'!B59*'B. Pro Forma Tool'!F78)+('A. Pro Forma Data Inputs'!B60*'B. Pro Forma Tool'!F79)+('A. Pro Forma Data Inputs'!B61*'B. Pro Forma Tool'!F80)+('A. Pro Forma Data Inputs'!B62*'B. Pro Forma Tool'!F81)</f>
        <v>0</v>
      </c>
      <c r="H84" s="192"/>
      <c r="I84" s="152"/>
    </row>
    <row r="85" spans="5:9" ht="12.75">
      <c r="E85" s="191" t="s">
        <v>333</v>
      </c>
      <c r="F85" s="151">
        <f>VALUE('A. Pro Forma Data Inputs'!B11)</f>
        <v>0</v>
      </c>
      <c r="I85" s="152"/>
    </row>
    <row r="86" spans="5:9" ht="12.75">
      <c r="E86" s="193" t="s">
        <v>334</v>
      </c>
      <c r="F86" s="151">
        <f>VALUE('A. Pro Forma Data Inputs'!B12)</f>
        <v>0</v>
      </c>
      <c r="I86" s="152"/>
    </row>
    <row r="88" spans="1:6" s="197" customFormat="1" ht="16.5">
      <c r="A88" s="194" t="s">
        <v>443</v>
      </c>
      <c r="B88" s="195"/>
      <c r="C88" s="195"/>
      <c r="D88" s="195"/>
      <c r="E88" s="195"/>
      <c r="F88" s="196" t="e">
        <f>F73/B89</f>
        <v>#DIV/0!</v>
      </c>
    </row>
    <row r="89" spans="1:2" ht="12.75">
      <c r="A89" s="80" t="s">
        <v>150</v>
      </c>
      <c r="B89" s="198">
        <f>'A. Pro Forma Data Inputs'!B65</f>
        <v>0</v>
      </c>
    </row>
    <row r="91" spans="1:10" s="202" customFormat="1" ht="16.5">
      <c r="A91" s="199" t="s">
        <v>444</v>
      </c>
      <c r="B91" s="200"/>
      <c r="C91" s="201"/>
      <c r="D91" s="201"/>
      <c r="E91" s="200"/>
      <c r="F91" s="196" t="e">
        <f>F88-F70</f>
        <v>#DIV/0!</v>
      </c>
      <c r="H91" s="203"/>
      <c r="J91" s="197"/>
    </row>
    <row r="92" spans="1:10" s="60" customFormat="1" ht="12.75">
      <c r="A92" s="52"/>
      <c r="B92" s="52"/>
      <c r="E92" s="52"/>
      <c r="F92" s="52"/>
      <c r="H92" s="52"/>
      <c r="I92" s="52"/>
      <c r="J92" s="52"/>
    </row>
    <row r="93" spans="1:6" s="197" customFormat="1" ht="16.5">
      <c r="A93" s="199" t="s">
        <v>445</v>
      </c>
      <c r="B93" s="200"/>
      <c r="C93" s="195"/>
      <c r="D93" s="195"/>
      <c r="E93" s="200"/>
      <c r="F93" s="204" t="e">
        <f>F91/F70</f>
        <v>#DIV/0!</v>
      </c>
    </row>
    <row r="94" ht="12.75">
      <c r="A94" s="60"/>
    </row>
    <row r="95" spans="1:10" ht="12.75">
      <c r="A95" s="205"/>
      <c r="B95" s="206"/>
      <c r="C95" s="58"/>
      <c r="D95" s="58"/>
      <c r="E95" s="58"/>
      <c r="F95" s="58"/>
      <c r="G95" s="58"/>
      <c r="H95" s="151"/>
      <c r="I95" s="156"/>
      <c r="J95" s="58"/>
    </row>
    <row r="96" spans="1:10" ht="12.75">
      <c r="A96" s="207"/>
      <c r="B96" s="206"/>
      <c r="C96" s="58"/>
      <c r="D96" s="58"/>
      <c r="E96" s="58"/>
      <c r="F96" s="58"/>
      <c r="G96" s="58"/>
      <c r="H96" s="112"/>
      <c r="I96" s="58"/>
      <c r="J96" s="58"/>
    </row>
    <row r="97" spans="1:10" ht="12.75">
      <c r="A97" s="206"/>
      <c r="B97" s="58"/>
      <c r="C97" s="58"/>
      <c r="D97" s="58"/>
      <c r="E97" s="58"/>
      <c r="F97" s="58"/>
      <c r="G97" s="58"/>
      <c r="H97" s="58"/>
      <c r="I97" s="58"/>
      <c r="J97" s="58"/>
    </row>
    <row r="98" spans="1:10" ht="12.75">
      <c r="A98" s="206"/>
      <c r="B98" s="58"/>
      <c r="C98" s="58"/>
      <c r="D98" s="58"/>
      <c r="E98" s="208"/>
      <c r="F98" s="208"/>
      <c r="G98" s="159"/>
      <c r="H98" s="159"/>
      <c r="I98" s="58"/>
      <c r="J98" s="58"/>
    </row>
    <row r="99" spans="1:10" ht="12.75">
      <c r="A99" s="206"/>
      <c r="B99" s="58"/>
      <c r="C99" s="58"/>
      <c r="D99" s="58"/>
      <c r="E99" s="208"/>
      <c r="F99" s="208"/>
      <c r="G99" s="159"/>
      <c r="H99" s="159"/>
      <c r="I99" s="58"/>
      <c r="J99" s="58"/>
    </row>
    <row r="100" spans="1:10" ht="12.75">
      <c r="A100" s="206"/>
      <c r="B100" s="58"/>
      <c r="C100" s="58"/>
      <c r="D100" s="58"/>
      <c r="E100" s="58"/>
      <c r="F100" s="58"/>
      <c r="G100" s="58"/>
      <c r="H100" s="58"/>
      <c r="I100" s="58"/>
      <c r="J100" s="58"/>
    </row>
    <row r="101" spans="1:10" ht="12.75">
      <c r="A101" s="206"/>
      <c r="B101" s="58"/>
      <c r="C101" s="58"/>
      <c r="D101" s="58"/>
      <c r="E101" s="209"/>
      <c r="F101" s="209"/>
      <c r="G101" s="58"/>
      <c r="H101" s="58"/>
      <c r="I101" s="58"/>
      <c r="J101" s="58"/>
    </row>
    <row r="102" spans="1:10" ht="12.75">
      <c r="A102" s="206"/>
      <c r="B102" s="58"/>
      <c r="C102" s="58"/>
      <c r="D102" s="58"/>
      <c r="E102" s="58"/>
      <c r="F102" s="58"/>
      <c r="G102" s="151"/>
      <c r="H102" s="151"/>
      <c r="I102" s="58"/>
      <c r="J102" s="58"/>
    </row>
    <row r="103" ht="12.75">
      <c r="A103" s="60"/>
    </row>
    <row r="104" spans="1:9" ht="12.75">
      <c r="A104" s="60"/>
      <c r="I104" s="152"/>
    </row>
    <row r="105" ht="12.75">
      <c r="A105" s="60"/>
    </row>
    <row r="106" ht="12.75">
      <c r="A106" s="60"/>
    </row>
    <row r="121" ht="12.75">
      <c r="J121" s="210"/>
    </row>
  </sheetData>
  <sheetProtection password="DD87" sheet="1" objects="1" scenarios="1"/>
  <mergeCells count="2">
    <mergeCell ref="B75:C75"/>
    <mergeCell ref="D75:E75"/>
  </mergeCells>
  <conditionalFormatting sqref="B54 B4 B13">
    <cfRule type="cellIs" priority="2" dxfId="94" operator="equal" stopIfTrue="1">
      <formula>0</formula>
    </cfRule>
  </conditionalFormatting>
  <conditionalFormatting sqref="D50 D45">
    <cfRule type="expression" priority="4" dxfId="0" stopIfTrue="1">
      <formula>F45="Fatal Flaw: Unviable Use"</formula>
    </cfRule>
    <cfRule type="cellIs" priority="5" dxfId="94" operator="equal" stopIfTrue="1">
      <formula>0</formula>
    </cfRule>
  </conditionalFormatting>
  <conditionalFormatting sqref="B45:B50">
    <cfRule type="expression" priority="6" dxfId="0" stopIfTrue="1">
      <formula>F45="Fatal Flaw: Unviable Use"</formula>
    </cfRule>
    <cfRule type="cellIs" priority="7" dxfId="94" operator="equal" stopIfTrue="1">
      <formula>0</formula>
    </cfRule>
  </conditionalFormatting>
  <conditionalFormatting sqref="B32:B37 D32 D37 B42:B43">
    <cfRule type="expression" priority="8" dxfId="2" stopIfTrue="1">
      <formula>$B$18="No existing buildings/structures onsite"</formula>
    </cfRule>
    <cfRule type="cellIs" priority="9" dxfId="92" operator="equal" stopIfTrue="1">
      <formula>0</formula>
    </cfRule>
  </conditionalFormatting>
  <conditionalFormatting sqref="B15">
    <cfRule type="cellIs" priority="10" dxfId="0" operator="equal" stopIfTrue="1">
      <formula>"Incentives are greater than cost of remediation; check data entry"</formula>
    </cfRule>
  </conditionalFormatting>
  <printOptions/>
  <pageMargins left="0.75" right="0.75" top="1.25" bottom="1" header="0.5" footer="0.5"/>
  <pageSetup fitToHeight="2" horizontalDpi="600" verticalDpi="600" orientation="portrait" scale="87" r:id="rId2"/>
  <headerFooter alignWithMargins="0">
    <oddHeader>&amp;L&amp;"Arial Narrow,Bold"&amp;11FOCUS WV Brownfields Mini-Grant Program 
Land Use Decision Enhancer Tool:
&amp;A, Page &amp;P of &amp;N&amp;R&amp;"Arial Narrow,Bold"Today's Date: &amp;D
&amp;"Arial Narrow,Regular"Prepared by: SRA International, Inc. and Vita Nuova, LLC</oddHeader>
    <oddFooter>&amp;L&amp;G&amp;C&amp;"Arial Narrow,Regular"This tool should not be used independently or as a primary reuse decision making tool. Reuse and
investment planning should be based on unique drivers, detailed valuation tools, and local knowledge of the site.&amp;R  &amp;G</oddFooter>
  </headerFooter>
  <rowBreaks count="1" manualBreakCount="1">
    <brk id="57" max="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SRA International,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MarshallKa</dc:creator>
  <cp:keywords/>
  <dc:description/>
  <cp:lastModifiedBy>LuElser</cp:lastModifiedBy>
  <cp:lastPrinted>2009-07-28T16:50:53Z</cp:lastPrinted>
  <dcterms:created xsi:type="dcterms:W3CDTF">2009-05-14T15:06:41Z</dcterms:created>
  <dcterms:modified xsi:type="dcterms:W3CDTF">2010-09-13T19:58:49Z</dcterms:modified>
  <cp:category/>
  <cp:version/>
  <cp:contentType/>
  <cp:contentStatus/>
</cp:coreProperties>
</file>